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haddock19\ACCSP_SHARE_DRIVES-AND-STAFF_USERS\shared\Budget\2022 Funding\"/>
    </mc:Choice>
  </mc:AlternateContent>
  <bookViews>
    <workbookView xWindow="2796" yWindow="0" windowWidth="24000" windowHeight="9732"/>
  </bookViews>
  <sheets>
    <sheet name="Avg Tally Sheet" sheetId="17" r:id="rId1"/>
    <sheet name="Ops Tally Sheet" sheetId="12" r:id="rId2"/>
    <sheet name="Adv Tally Sheet" sheetId="16" r:id="rId3"/>
    <sheet name="Tally Sheet Data" sheetId="11" r:id="rId4"/>
  </sheets>
  <definedNames>
    <definedName name="advisors">'Tally Sheet Data'!$C$7:$J$14,'Tally Sheet Data'!$C$17:$J$20</definedName>
    <definedName name="advisorsM">'Tally Sheet Data'!$C$7:$J$14</definedName>
    <definedName name="advisorsN">'Tally Sheet Data'!$C$17:$J$20</definedName>
    <definedName name="average">'Tally Sheet Data'!$D$7:$J$14,'Tally Sheet Data'!$D$17:$J$20</definedName>
    <definedName name="averageM">'Tally Sheet Data'!$D$7:$J$14</definedName>
    <definedName name="averageN">'Tally Sheet Data'!$D$17:$J$20</definedName>
    <definedName name="operations">'Tally Sheet Data'!$B$7:$J$14,'Tally Sheet Data'!$B$17:$J$20</definedName>
    <definedName name="operationsM">'Tally Sheet Data'!$B$7:$J$14</definedName>
    <definedName name="operationsN">'Tally Sheet Data'!$B$17:$J$20</definedName>
  </definedNames>
  <calcPr calcId="162913"/>
</workbook>
</file>

<file path=xl/calcChain.xml><?xml version="1.0" encoding="utf-8"?>
<calcChain xmlns="http://schemas.openxmlformats.org/spreadsheetml/2006/main">
  <c r="H2" i="17" l="1"/>
  <c r="H4" i="17" s="1"/>
  <c r="H2" i="16"/>
  <c r="H4" i="16" s="1"/>
  <c r="H3" i="17" l="1"/>
  <c r="F3" i="17"/>
  <c r="F4" i="17"/>
  <c r="H3" i="16"/>
  <c r="F3" i="16"/>
  <c r="F4" i="16"/>
  <c r="H2" i="12" l="1"/>
  <c r="F3" i="12" l="1"/>
  <c r="H4" i="12"/>
  <c r="F4" i="12"/>
  <c r="H3" i="12"/>
  <c r="C20" i="17" l="1"/>
  <c r="C18" i="17"/>
  <c r="B20" i="17"/>
  <c r="B18" i="17"/>
  <c r="B19" i="17"/>
  <c r="D20" i="17"/>
  <c r="E19" i="17"/>
  <c r="E17" i="17"/>
  <c r="F17" i="17" s="1"/>
  <c r="B17" i="17"/>
  <c r="E20" i="17"/>
  <c r="D18" i="17"/>
  <c r="D19" i="17"/>
  <c r="D17" i="17"/>
  <c r="C19" i="17"/>
  <c r="C17" i="17"/>
  <c r="E18" i="17"/>
  <c r="E19" i="16"/>
  <c r="E17" i="16"/>
  <c r="F17" i="16" s="1"/>
  <c r="D19" i="16"/>
  <c r="D17" i="16"/>
  <c r="E20" i="16"/>
  <c r="C18" i="16"/>
  <c r="B18" i="16"/>
  <c r="C19" i="16"/>
  <c r="C17" i="16"/>
  <c r="E18" i="16"/>
  <c r="D18" i="16"/>
  <c r="C20" i="16"/>
  <c r="B19" i="16"/>
  <c r="B17" i="16"/>
  <c r="D20" i="16"/>
  <c r="B20" i="16"/>
  <c r="D18" i="12"/>
  <c r="E20" i="12"/>
  <c r="D17" i="12"/>
  <c r="E19" i="12"/>
  <c r="C20" i="12"/>
  <c r="E18" i="12"/>
  <c r="C19" i="12"/>
  <c r="B20" i="12"/>
  <c r="C18" i="12"/>
  <c r="C17" i="12"/>
  <c r="D20" i="12"/>
  <c r="D19" i="12"/>
  <c r="B18" i="12"/>
  <c r="B19" i="12"/>
  <c r="B17" i="12"/>
  <c r="E17" i="12"/>
  <c r="F17" i="12" s="1"/>
  <c r="F18" i="12" l="1"/>
  <c r="F19" i="12" s="1"/>
  <c r="F20" i="12" s="1"/>
  <c r="F18" i="17"/>
  <c r="F19" i="17" s="1"/>
  <c r="F20" i="17" s="1"/>
  <c r="F18" i="16"/>
  <c r="F19" i="16" s="1"/>
  <c r="F20" i="16" s="1"/>
  <c r="C13" i="17" l="1"/>
  <c r="C11" i="17"/>
  <c r="C9" i="17"/>
  <c r="C7" i="17"/>
  <c r="B13" i="17"/>
  <c r="B11" i="17"/>
  <c r="B9" i="17"/>
  <c r="B7" i="17"/>
  <c r="B12" i="17"/>
  <c r="E9" i="17"/>
  <c r="E7" i="17"/>
  <c r="F7" i="17" s="1"/>
  <c r="D13" i="17"/>
  <c r="D11" i="17"/>
  <c r="D7" i="17"/>
  <c r="E14" i="17"/>
  <c r="E12" i="17"/>
  <c r="E10" i="17"/>
  <c r="E8" i="17"/>
  <c r="B10" i="17"/>
  <c r="E13" i="17"/>
  <c r="D14" i="17"/>
  <c r="D12" i="17"/>
  <c r="D10" i="17"/>
  <c r="D8" i="17"/>
  <c r="C14" i="17"/>
  <c r="C12" i="17"/>
  <c r="C10" i="17"/>
  <c r="C8" i="17"/>
  <c r="B14" i="17"/>
  <c r="B8" i="17"/>
  <c r="E11" i="17"/>
  <c r="D9" i="17"/>
  <c r="E14" i="16"/>
  <c r="E12" i="16"/>
  <c r="E10" i="16"/>
  <c r="E8" i="16"/>
  <c r="D14" i="16"/>
  <c r="D12" i="16"/>
  <c r="D10" i="16"/>
  <c r="D8" i="16"/>
  <c r="C8" i="16"/>
  <c r="E11" i="16"/>
  <c r="D13" i="16"/>
  <c r="D7" i="16"/>
  <c r="C11" i="16"/>
  <c r="B13" i="16"/>
  <c r="B7" i="16"/>
  <c r="C14" i="16"/>
  <c r="C12" i="16"/>
  <c r="C10" i="16"/>
  <c r="E9" i="16"/>
  <c r="D9" i="16"/>
  <c r="C9" i="16"/>
  <c r="B9" i="16"/>
  <c r="B14" i="16"/>
  <c r="B12" i="16"/>
  <c r="B10" i="16"/>
  <c r="B8" i="16"/>
  <c r="E13" i="16"/>
  <c r="E7" i="16"/>
  <c r="F7" i="16" s="1"/>
  <c r="D11" i="16"/>
  <c r="C13" i="16"/>
  <c r="C7" i="16"/>
  <c r="B11" i="16"/>
  <c r="E7" i="12"/>
  <c r="F7" i="12" s="1"/>
  <c r="B10" i="12"/>
  <c r="C13" i="12"/>
  <c r="E12" i="12"/>
  <c r="B7" i="12"/>
  <c r="E10" i="12"/>
  <c r="C10" i="12"/>
  <c r="E9" i="12"/>
  <c r="C9" i="12"/>
  <c r="B12" i="12"/>
  <c r="E8" i="12"/>
  <c r="C8" i="12"/>
  <c r="E14" i="12"/>
  <c r="D14" i="12"/>
  <c r="C14" i="12"/>
  <c r="D7" i="12"/>
  <c r="B9" i="12"/>
  <c r="E13" i="12"/>
  <c r="D13" i="12"/>
  <c r="C7" i="12"/>
  <c r="B8" i="12"/>
  <c r="D12" i="12"/>
  <c r="C12" i="12"/>
  <c r="D10" i="12"/>
  <c r="B13" i="12"/>
  <c r="D9" i="12"/>
  <c r="D8" i="12"/>
  <c r="B11" i="12"/>
  <c r="E11" i="12"/>
  <c r="D11" i="12"/>
  <c r="C11" i="12"/>
  <c r="B14" i="12"/>
  <c r="F8" i="16" l="1"/>
  <c r="G7" i="16"/>
  <c r="H7" i="16"/>
  <c r="F8" i="17"/>
  <c r="G7" i="17"/>
  <c r="H7" i="17"/>
  <c r="F8" i="12"/>
  <c r="F9" i="12" s="1"/>
  <c r="F10" i="12" s="1"/>
  <c r="F11" i="12" s="1"/>
  <c r="F12" i="12" s="1"/>
  <c r="F13" i="12" s="1"/>
  <c r="F14" i="12" s="1"/>
  <c r="F9" i="16" l="1"/>
  <c r="G8" i="16"/>
  <c r="H8" i="16"/>
  <c r="F9" i="17"/>
  <c r="G8" i="17"/>
  <c r="H8" i="17"/>
  <c r="G7" i="12"/>
  <c r="H7" i="12"/>
  <c r="F10" i="16" l="1"/>
  <c r="H9" i="16"/>
  <c r="G9" i="16"/>
  <c r="F10" i="17"/>
  <c r="G9" i="17"/>
  <c r="H9" i="17"/>
  <c r="H8" i="12"/>
  <c r="G8" i="12"/>
  <c r="F11" i="16" l="1"/>
  <c r="G10" i="16"/>
  <c r="H10" i="16"/>
  <c r="F11" i="17"/>
  <c r="H10" i="17"/>
  <c r="G10" i="17"/>
  <c r="G9" i="12"/>
  <c r="H9" i="12"/>
  <c r="F12" i="16" l="1"/>
  <c r="H11" i="16"/>
  <c r="G11" i="16"/>
  <c r="F12" i="17"/>
  <c r="G11" i="17"/>
  <c r="H11" i="17"/>
  <c r="H10" i="12"/>
  <c r="G10" i="12"/>
  <c r="F13" i="16" l="1"/>
  <c r="G12" i="16"/>
  <c r="H12" i="16"/>
  <c r="F13" i="17"/>
  <c r="H12" i="17"/>
  <c r="G12" i="17"/>
  <c r="H11" i="12"/>
  <c r="G11" i="12"/>
  <c r="F14" i="16" l="1"/>
  <c r="H13" i="16"/>
  <c r="G13" i="16"/>
  <c r="F14" i="17"/>
  <c r="G13" i="17"/>
  <c r="H13" i="17"/>
  <c r="H12" i="12"/>
  <c r="G12" i="12"/>
  <c r="G14" i="16" l="1"/>
  <c r="H14" i="16"/>
  <c r="H14" i="17"/>
  <c r="G14" i="17"/>
  <c r="H13" i="12"/>
  <c r="G13" i="12"/>
  <c r="G17" i="17" l="1"/>
  <c r="G18" i="17"/>
  <c r="G19" i="17"/>
  <c r="G20" i="17"/>
  <c r="H17" i="17"/>
  <c r="H18" i="17"/>
  <c r="H19" i="17"/>
  <c r="H20" i="17"/>
  <c r="H17" i="16"/>
  <c r="H18" i="16"/>
  <c r="H19" i="16"/>
  <c r="H20" i="16"/>
  <c r="G18" i="16"/>
  <c r="G19" i="16"/>
  <c r="G17" i="16"/>
  <c r="G20" i="16"/>
  <c r="G14" i="12"/>
  <c r="H14" i="12"/>
  <c r="H17" i="12" l="1"/>
  <c r="H20" i="12"/>
  <c r="H18" i="12"/>
  <c r="H19" i="12"/>
  <c r="G18" i="12"/>
  <c r="G17" i="12"/>
  <c r="G19" i="12"/>
  <c r="G20" i="12"/>
</calcChain>
</file>

<file path=xl/sharedStrings.xml><?xml version="1.0" encoding="utf-8"?>
<sst xmlns="http://schemas.openxmlformats.org/spreadsheetml/2006/main" count="82" uniqueCount="43">
  <si>
    <t>Score</t>
  </si>
  <si>
    <t>Cost</t>
  </si>
  <si>
    <t xml:space="preserve">Admin Grant </t>
  </si>
  <si>
    <t>3.35M</t>
  </si>
  <si>
    <t>Maint @ 75%</t>
  </si>
  <si>
    <t>New @ 25%</t>
  </si>
  <si>
    <t>Project Name</t>
  </si>
  <si>
    <t>Partner</t>
  </si>
  <si>
    <t>Cumulative Cost</t>
  </si>
  <si>
    <t>3.5M                          Amt Remaining</t>
  </si>
  <si>
    <t>3.35M                          Amt Remaining</t>
  </si>
  <si>
    <t>ME DMR</t>
  </si>
  <si>
    <t>RI DEM</t>
  </si>
  <si>
    <t>Operations Rank</t>
  </si>
  <si>
    <t>Advisors Rank</t>
  </si>
  <si>
    <t>Average Rank</t>
  </si>
  <si>
    <t>Operations Score</t>
  </si>
  <si>
    <t>Advisors Score</t>
  </si>
  <si>
    <t>Average Score</t>
  </si>
  <si>
    <t>includes carryover from maintenance projects</t>
  </si>
  <si>
    <t>Portside Commercial Catch Sampling and Comparative Bycatch Sampling for Atlantic Herring, Atlantic Mackerel and Atlantic Menhaden fisheries</t>
  </si>
  <si>
    <t>Advancing Fishery Dependent Data Collection for Black Sea Bass (Cetropristis striata) in the Southern New England and Mid-Atlantic Region Utilizing Modern Technology and a Vessel Research Fleet Approach</t>
  </si>
  <si>
    <t>Electronic Trip-Level Reporting for the Potomac River Fisheries Commission Commercial Fisheries Sector</t>
  </si>
  <si>
    <t>PRFC</t>
  </si>
  <si>
    <t>3.50M</t>
  </si>
  <si>
    <t>FY2022  Proposal Rankings
(Average)</t>
  </si>
  <si>
    <t>FY22: Managing 100% Lobster Harvester Reporting in Maine</t>
  </si>
  <si>
    <t>FY22: Managing Mandatory Dealer Reporting in Maine</t>
  </si>
  <si>
    <t>FY22: SAFIS Expansion of Customizable Fisheries Citizen Science Data Collection Application</t>
  </si>
  <si>
    <t>Continued development of a mobile application to assist Maritime Law Enforcement Personnel with fisheries enforcement tasks</t>
  </si>
  <si>
    <t>FY22: Maintenance and Coordination of Fisheries Dependent Data Feeds to ACCSP from the State of Rhode Island</t>
  </si>
  <si>
    <t>Integration of vessel monitoring systems and electronic reporting in SAFIS and SAFIS applications through API development and field testing of multiple hardware options: Phase 2</t>
  </si>
  <si>
    <t>Implementation of Electronic Quota Monitoring Reporting in North Carolina</t>
  </si>
  <si>
    <t>North Carolina fishery-dependent biological data transmissions to the Atlantic Coastal Cooperative Statistics Program Data Warehouse</t>
  </si>
  <si>
    <t>FY22: DNA and Bycatch Characterization of New Jersey’s American Shad Fishery in Delaware Bay</t>
  </si>
  <si>
    <t>SAFMC/NCDMF</t>
  </si>
  <si>
    <t>RIDEM/GADNR USCG</t>
  </si>
  <si>
    <t>FY2022 Proposal Rankings</t>
  </si>
  <si>
    <t>FY2022 Advisors 
Proposal Rankings</t>
  </si>
  <si>
    <t>FY2022 Operations 
Proposal Rankings</t>
  </si>
  <si>
    <t>MADMF/RIDMF</t>
  </si>
  <si>
    <t>NCDMF</t>
  </si>
  <si>
    <t>NJDFW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</si>
</sst>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5" formatCode="&quot;$&quot;#,##0_);\(&quot;$&quot;#,##0\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rgb="FF008080"/>
      <name val="Calibri"/>
      <family val="2"/>
      <scheme val="minor"/>
    </font>
    <font>
      <b/>
      <sz val="16"/>
      <color rgb="FF00808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008080"/>
      <name val="Calibri"/>
      <family val="2"/>
      <scheme val="minor"/>
    </font>
    <font>
      <b/>
      <sz val="28"/>
      <color rgb="FF00808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2"/>
      <color rgb="FF008080"/>
      <name val="Calibri"/>
      <family val="2"/>
      <scheme val="minor"/>
    </font>
    <font>
      <sz val="14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61">
    <xf numFmtId="0" fontId="0" fillId="0" borderId="0" xfId="0"/>
    <xf numFmtId="0" fontId="0" fillId="0" borderId="0" xfId="0"/>
    <xf numFmtId="0" fontId="1" fillId="0" borderId="0" xfId="0" applyFont="1"/>
    <xf numFmtId="0" fontId="1" fillId="0" borderId="0" xfId="0" applyFont="1" applyAlignment="1"/>
    <xf numFmtId="0" fontId="5" fillId="2" borderId="7" xfId="0" applyFont="1" applyFill="1" applyBorder="1"/>
    <xf numFmtId="0" fontId="6" fillId="2" borderId="8" xfId="0" applyFont="1" applyFill="1" applyBorder="1" applyAlignment="1">
      <alignment horizontal="right"/>
    </xf>
    <xf numFmtId="3" fontId="6" fillId="2" borderId="8" xfId="0" applyNumberFormat="1" applyFont="1" applyFill="1" applyBorder="1" applyAlignment="1">
      <alignment horizontal="right"/>
    </xf>
    <xf numFmtId="5" fontId="6" fillId="2" borderId="8" xfId="0" applyNumberFormat="1" applyFont="1" applyFill="1" applyBorder="1" applyAlignment="1">
      <alignment horizontal="right"/>
    </xf>
    <xf numFmtId="3" fontId="6" fillId="2" borderId="6" xfId="0" applyNumberFormat="1" applyFont="1" applyFill="1" applyBorder="1" applyAlignment="1">
      <alignment horizontal="right"/>
    </xf>
    <xf numFmtId="0" fontId="7" fillId="2" borderId="3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right"/>
    </xf>
    <xf numFmtId="3" fontId="8" fillId="2" borderId="0" xfId="0" applyNumberFormat="1" applyFont="1" applyFill="1" applyBorder="1" applyAlignment="1">
      <alignment horizontal="right"/>
    </xf>
    <xf numFmtId="3" fontId="8" fillId="2" borderId="2" xfId="0" applyNumberFormat="1" applyFont="1" applyFill="1" applyBorder="1" applyAlignment="1">
      <alignment horizontal="right"/>
    </xf>
    <xf numFmtId="0" fontId="7" fillId="2" borderId="9" xfId="0" applyFont="1" applyFill="1" applyBorder="1" applyAlignment="1">
      <alignment horizontal="center"/>
    </xf>
    <xf numFmtId="0" fontId="8" fillId="2" borderId="10" xfId="0" applyFont="1" applyFill="1" applyBorder="1" applyAlignment="1">
      <alignment horizontal="right"/>
    </xf>
    <xf numFmtId="3" fontId="8" fillId="2" borderId="10" xfId="0" applyNumberFormat="1" applyFont="1" applyFill="1" applyBorder="1" applyAlignment="1">
      <alignment horizontal="right"/>
    </xf>
    <xf numFmtId="3" fontId="8" fillId="2" borderId="11" xfId="0" applyNumberFormat="1" applyFont="1" applyFill="1" applyBorder="1" applyAlignment="1">
      <alignment horizontal="right"/>
    </xf>
    <xf numFmtId="0" fontId="9" fillId="0" borderId="1" xfId="0" applyFont="1" applyBorder="1" applyAlignment="1">
      <alignment horizontal="center"/>
    </xf>
    <xf numFmtId="0" fontId="9" fillId="0" borderId="4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left"/>
    </xf>
    <xf numFmtId="0" fontId="6" fillId="0" borderId="10" xfId="0" applyFont="1" applyBorder="1" applyAlignment="1">
      <alignment horizontal="center"/>
    </xf>
    <xf numFmtId="0" fontId="9" fillId="0" borderId="4" xfId="0" applyFont="1" applyFill="1" applyBorder="1" applyAlignment="1">
      <alignment horizontal="left"/>
    </xf>
    <xf numFmtId="0" fontId="9" fillId="0" borderId="9" xfId="0" applyFont="1" applyBorder="1" applyAlignment="1">
      <alignment horizontal="left"/>
    </xf>
    <xf numFmtId="0" fontId="4" fillId="3" borderId="1" xfId="0" applyFont="1" applyFill="1" applyBorder="1" applyAlignment="1">
      <alignment vertical="center"/>
    </xf>
    <xf numFmtId="1" fontId="2" fillId="3" borderId="1" xfId="0" applyNumberFormat="1" applyFont="1" applyFill="1" applyBorder="1" applyAlignment="1">
      <alignment horizontal="center" vertical="center"/>
    </xf>
    <xf numFmtId="164" fontId="2" fillId="3" borderId="1" xfId="1" applyNumberFormat="1" applyFont="1" applyFill="1" applyBorder="1" applyAlignment="1">
      <alignment horizontal="left" vertical="center"/>
    </xf>
    <xf numFmtId="164" fontId="2" fillId="3" borderId="5" xfId="0" applyNumberFormat="1" applyFont="1" applyFill="1" applyBorder="1" applyAlignment="1">
      <alignment horizontal="left" vertical="center"/>
    </xf>
    <xf numFmtId="164" fontId="2" fillId="3" borderId="1" xfId="0" applyNumberFormat="1" applyFont="1" applyFill="1" applyBorder="1" applyAlignment="1">
      <alignment vertical="center"/>
    </xf>
    <xf numFmtId="164" fontId="1" fillId="0" borderId="0" xfId="0" applyNumberFormat="1" applyFont="1"/>
    <xf numFmtId="0" fontId="1" fillId="0" borderId="10" xfId="0" applyFont="1" applyFill="1" applyBorder="1" applyAlignment="1">
      <alignment vertical="center"/>
    </xf>
    <xf numFmtId="1" fontId="2" fillId="0" borderId="8" xfId="0" applyNumberFormat="1" applyFont="1" applyFill="1" applyBorder="1" applyAlignment="1"/>
    <xf numFmtId="0" fontId="2" fillId="0" borderId="8" xfId="0" applyFont="1" applyFill="1" applyBorder="1" applyAlignment="1">
      <alignment horizontal="left"/>
    </xf>
    <xf numFmtId="0" fontId="4" fillId="3" borderId="4" xfId="0" applyFont="1" applyFill="1" applyBorder="1" applyAlignment="1">
      <alignment vertical="center"/>
    </xf>
    <xf numFmtId="1" fontId="2" fillId="3" borderId="4" xfId="0" applyNumberFormat="1" applyFont="1" applyFill="1" applyBorder="1" applyAlignment="1">
      <alignment horizontal="center" vertical="center"/>
    </xf>
    <xf numFmtId="0" fontId="0" fillId="0" borderId="0" xfId="0" applyFont="1"/>
    <xf numFmtId="0" fontId="1" fillId="0" borderId="0" xfId="0" applyFont="1"/>
    <xf numFmtId="0" fontId="0" fillId="0" borderId="10" xfId="0" applyFill="1" applyBorder="1" applyAlignment="1">
      <alignment horizontal="left" wrapText="1"/>
    </xf>
    <xf numFmtId="1" fontId="2" fillId="0" borderId="10" xfId="0" applyNumberFormat="1" applyFont="1" applyFill="1" applyBorder="1" applyAlignment="1"/>
    <xf numFmtId="0" fontId="0" fillId="3" borderId="1" xfId="0" applyFill="1" applyBorder="1" applyAlignment="1">
      <alignment wrapText="1"/>
    </xf>
    <xf numFmtId="0" fontId="0" fillId="3" borderId="4" xfId="0" applyFill="1" applyBorder="1" applyAlignment="1">
      <alignment wrapText="1"/>
    </xf>
    <xf numFmtId="0" fontId="10" fillId="0" borderId="0" xfId="0" applyFont="1" applyAlignment="1">
      <alignment vertical="center" wrapText="1"/>
    </xf>
    <xf numFmtId="0" fontId="0" fillId="0" borderId="0" xfId="0"/>
    <xf numFmtId="0" fontId="11" fillId="3" borderId="1" xfId="0" applyFont="1" applyFill="1" applyBorder="1" applyAlignment="1">
      <alignment wrapText="1"/>
    </xf>
    <xf numFmtId="0" fontId="5" fillId="3" borderId="1" xfId="0" applyFont="1" applyFill="1" applyBorder="1" applyAlignment="1">
      <alignment wrapText="1"/>
    </xf>
    <xf numFmtId="2" fontId="5" fillId="3" borderId="1" xfId="0" applyNumberFormat="1" applyFont="1" applyFill="1" applyBorder="1" applyAlignment="1">
      <alignment wrapText="1"/>
    </xf>
    <xf numFmtId="0" fontId="4" fillId="3" borderId="4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wrapText="1"/>
    </xf>
    <xf numFmtId="0" fontId="6" fillId="2" borderId="5" xfId="0" applyFont="1" applyFill="1" applyBorder="1" applyAlignment="1">
      <alignment horizontal="left" wrapText="1"/>
    </xf>
    <xf numFmtId="0" fontId="9" fillId="2" borderId="1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left"/>
    </xf>
    <xf numFmtId="0" fontId="6" fillId="2" borderId="10" xfId="0" applyFont="1" applyFill="1" applyBorder="1" applyAlignment="1">
      <alignment horizontal="center"/>
    </xf>
    <xf numFmtId="0" fontId="9" fillId="2" borderId="4" xfId="0" applyFont="1" applyFill="1" applyBorder="1" applyAlignment="1">
      <alignment horizontal="left"/>
    </xf>
    <xf numFmtId="0" fontId="6" fillId="2" borderId="5" xfId="0" applyFont="1" applyFill="1" applyBorder="1" applyAlignment="1">
      <alignment horizontal="left"/>
    </xf>
    <xf numFmtId="0" fontId="6" fillId="2" borderId="1" xfId="0" applyFont="1" applyFill="1" applyBorder="1" applyAlignment="1">
      <alignment horizontal="center"/>
    </xf>
    <xf numFmtId="0" fontId="9" fillId="2" borderId="4" xfId="0" applyFont="1" applyFill="1" applyBorder="1" applyAlignment="1">
      <alignment horizontal="center"/>
    </xf>
    <xf numFmtId="0" fontId="9" fillId="2" borderId="9" xfId="0" applyFont="1" applyFill="1" applyBorder="1" applyAlignment="1">
      <alignment horizontal="center"/>
    </xf>
    <xf numFmtId="0" fontId="9" fillId="2" borderId="4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2" fillId="0" borderId="0" xfId="0" applyFont="1" applyAlignment="1">
      <alignment horizontal="right" vertical="center" wrapText="1"/>
    </xf>
    <xf numFmtId="0" fontId="12" fillId="0" borderId="10" xfId="0" applyFont="1" applyBorder="1" applyAlignment="1">
      <alignment horizontal="right" vertical="center" wrapText="1"/>
    </xf>
    <xf numFmtId="0" fontId="13" fillId="0" borderId="8" xfId="0" applyFont="1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492919</xdr:colOff>
      <xdr:row>1</xdr:row>
      <xdr:rowOff>0</xdr:rowOff>
    </xdr:from>
    <xdr:to>
      <xdr:col>1</xdr:col>
      <xdr:colOff>1516856</xdr:colOff>
      <xdr:row>3</xdr:row>
      <xdr:rowOff>294808</xdr:rowOff>
    </xdr:to>
    <xdr:pic>
      <xdr:nvPicPr>
        <xdr:cNvPr id="2" name="Picture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2281"/>
        <a:stretch/>
      </xdr:blipFill>
      <xdr:spPr>
        <a:xfrm>
          <a:off x="788194" y="161925"/>
          <a:ext cx="1023937" cy="94250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492919</xdr:colOff>
      <xdr:row>1</xdr:row>
      <xdr:rowOff>0</xdr:rowOff>
    </xdr:from>
    <xdr:to>
      <xdr:col>1</xdr:col>
      <xdr:colOff>1516856</xdr:colOff>
      <xdr:row>3</xdr:row>
      <xdr:rowOff>294808</xdr:rowOff>
    </xdr:to>
    <xdr:pic>
      <xdr:nvPicPr>
        <xdr:cNvPr id="2" name="Picture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2281"/>
        <a:stretch/>
      </xdr:blipFill>
      <xdr:spPr>
        <a:xfrm>
          <a:off x="788194" y="161925"/>
          <a:ext cx="1023937" cy="94250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492919</xdr:colOff>
      <xdr:row>1</xdr:row>
      <xdr:rowOff>0</xdr:rowOff>
    </xdr:from>
    <xdr:to>
      <xdr:col>1</xdr:col>
      <xdr:colOff>1516856</xdr:colOff>
      <xdr:row>3</xdr:row>
      <xdr:rowOff>294808</xdr:rowOff>
    </xdr:to>
    <xdr:pic>
      <xdr:nvPicPr>
        <xdr:cNvPr id="2" name="Picture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2281"/>
        <a:stretch/>
      </xdr:blipFill>
      <xdr:spPr>
        <a:xfrm>
          <a:off x="788194" y="161925"/>
          <a:ext cx="1023937" cy="94250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71437</xdr:colOff>
      <xdr:row>0</xdr:row>
      <xdr:rowOff>390524</xdr:rowOff>
    </xdr:from>
    <xdr:to>
      <xdr:col>4</xdr:col>
      <xdr:colOff>107155</xdr:colOff>
      <xdr:row>4</xdr:row>
      <xdr:rowOff>18581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9093" y="390524"/>
          <a:ext cx="2714625" cy="9377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B1:I22"/>
  <sheetViews>
    <sheetView showGridLines="0" tabSelected="1" zoomScaleNormal="100" workbookViewId="0">
      <pane ySplit="5" topLeftCell="A6" activePane="bottomLeft" state="frozen"/>
      <selection activeCell="F25" sqref="F25"/>
      <selection pane="bottomLeft" activeCell="B12" sqref="B12"/>
    </sheetView>
  </sheetViews>
  <sheetFormatPr defaultRowHeight="14.4" x14ac:dyDescent="0.3"/>
  <cols>
    <col min="1" max="1" width="4.44140625" style="35" customWidth="1"/>
    <col min="2" max="2" width="65.88671875" style="35" customWidth="1"/>
    <col min="3" max="3" width="11.44140625" style="35" customWidth="1"/>
    <col min="4" max="4" width="13.33203125" style="35" customWidth="1"/>
    <col min="5" max="5" width="17.88671875" style="35" bestFit="1" customWidth="1"/>
    <col min="6" max="6" width="18" style="34" customWidth="1"/>
    <col min="7" max="7" width="18.109375" style="34" customWidth="1"/>
    <col min="8" max="8" width="17.5546875" style="34" customWidth="1"/>
    <col min="9" max="203" width="9.109375" style="35"/>
    <col min="204" max="204" width="2.44140625" style="35" customWidth="1"/>
    <col min="205" max="205" width="5.5546875" style="35" bestFit="1" customWidth="1"/>
    <col min="206" max="206" width="21.5546875" style="35" customWidth="1"/>
    <col min="207" max="207" width="16.5546875" style="35" customWidth="1"/>
    <col min="208" max="208" width="18.44140625" style="35" customWidth="1"/>
    <col min="209" max="459" width="9.109375" style="35"/>
    <col min="460" max="460" width="2.44140625" style="35" customWidth="1"/>
    <col min="461" max="461" width="5.5546875" style="35" bestFit="1" customWidth="1"/>
    <col min="462" max="462" width="21.5546875" style="35" customWidth="1"/>
    <col min="463" max="463" width="16.5546875" style="35" customWidth="1"/>
    <col min="464" max="464" width="18.44140625" style="35" customWidth="1"/>
    <col min="465" max="715" width="9.109375" style="35"/>
    <col min="716" max="716" width="2.44140625" style="35" customWidth="1"/>
    <col min="717" max="717" width="5.5546875" style="35" bestFit="1" customWidth="1"/>
    <col min="718" max="718" width="21.5546875" style="35" customWidth="1"/>
    <col min="719" max="719" width="16.5546875" style="35" customWidth="1"/>
    <col min="720" max="720" width="18.44140625" style="35" customWidth="1"/>
    <col min="721" max="971" width="9.109375" style="35"/>
    <col min="972" max="972" width="2.44140625" style="35" customWidth="1"/>
    <col min="973" max="973" width="5.5546875" style="35" bestFit="1" customWidth="1"/>
    <col min="974" max="974" width="21.5546875" style="35" customWidth="1"/>
    <col min="975" max="975" width="16.5546875" style="35" customWidth="1"/>
    <col min="976" max="976" width="18.44140625" style="35" customWidth="1"/>
    <col min="977" max="1227" width="9.109375" style="35"/>
    <col min="1228" max="1228" width="2.44140625" style="35" customWidth="1"/>
    <col min="1229" max="1229" width="5.5546875" style="35" bestFit="1" customWidth="1"/>
    <col min="1230" max="1230" width="21.5546875" style="35" customWidth="1"/>
    <col min="1231" max="1231" width="16.5546875" style="35" customWidth="1"/>
    <col min="1232" max="1232" width="18.44140625" style="35" customWidth="1"/>
    <col min="1233" max="1483" width="9.109375" style="35"/>
    <col min="1484" max="1484" width="2.44140625" style="35" customWidth="1"/>
    <col min="1485" max="1485" width="5.5546875" style="35" bestFit="1" customWidth="1"/>
    <col min="1486" max="1486" width="21.5546875" style="35" customWidth="1"/>
    <col min="1487" max="1487" width="16.5546875" style="35" customWidth="1"/>
    <col min="1488" max="1488" width="18.44140625" style="35" customWidth="1"/>
    <col min="1489" max="1739" width="9.109375" style="35"/>
    <col min="1740" max="1740" width="2.44140625" style="35" customWidth="1"/>
    <col min="1741" max="1741" width="5.5546875" style="35" bestFit="1" customWidth="1"/>
    <col min="1742" max="1742" width="21.5546875" style="35" customWidth="1"/>
    <col min="1743" max="1743" width="16.5546875" style="35" customWidth="1"/>
    <col min="1744" max="1744" width="18.44140625" style="35" customWidth="1"/>
    <col min="1745" max="1995" width="9.109375" style="35"/>
    <col min="1996" max="1996" width="2.44140625" style="35" customWidth="1"/>
    <col min="1997" max="1997" width="5.5546875" style="35" bestFit="1" customWidth="1"/>
    <col min="1998" max="1998" width="21.5546875" style="35" customWidth="1"/>
    <col min="1999" max="1999" width="16.5546875" style="35" customWidth="1"/>
    <col min="2000" max="2000" width="18.44140625" style="35" customWidth="1"/>
    <col min="2001" max="2251" width="9.109375" style="35"/>
    <col min="2252" max="2252" width="2.44140625" style="35" customWidth="1"/>
    <col min="2253" max="2253" width="5.5546875" style="35" bestFit="1" customWidth="1"/>
    <col min="2254" max="2254" width="21.5546875" style="35" customWidth="1"/>
    <col min="2255" max="2255" width="16.5546875" style="35" customWidth="1"/>
    <col min="2256" max="2256" width="18.44140625" style="35" customWidth="1"/>
    <col min="2257" max="2507" width="9.109375" style="35"/>
    <col min="2508" max="2508" width="2.44140625" style="35" customWidth="1"/>
    <col min="2509" max="2509" width="5.5546875" style="35" bestFit="1" customWidth="1"/>
    <col min="2510" max="2510" width="21.5546875" style="35" customWidth="1"/>
    <col min="2511" max="2511" width="16.5546875" style="35" customWidth="1"/>
    <col min="2512" max="2512" width="18.44140625" style="35" customWidth="1"/>
    <col min="2513" max="2763" width="9.109375" style="35"/>
    <col min="2764" max="2764" width="2.44140625" style="35" customWidth="1"/>
    <col min="2765" max="2765" width="5.5546875" style="35" bestFit="1" customWidth="1"/>
    <col min="2766" max="2766" width="21.5546875" style="35" customWidth="1"/>
    <col min="2767" max="2767" width="16.5546875" style="35" customWidth="1"/>
    <col min="2768" max="2768" width="18.44140625" style="35" customWidth="1"/>
    <col min="2769" max="3019" width="9.109375" style="35"/>
    <col min="3020" max="3020" width="2.44140625" style="35" customWidth="1"/>
    <col min="3021" max="3021" width="5.5546875" style="35" bestFit="1" customWidth="1"/>
    <col min="3022" max="3022" width="21.5546875" style="35" customWidth="1"/>
    <col min="3023" max="3023" width="16.5546875" style="35" customWidth="1"/>
    <col min="3024" max="3024" width="18.44140625" style="35" customWidth="1"/>
    <col min="3025" max="3275" width="9.109375" style="35"/>
    <col min="3276" max="3276" width="2.44140625" style="35" customWidth="1"/>
    <col min="3277" max="3277" width="5.5546875" style="35" bestFit="1" customWidth="1"/>
    <col min="3278" max="3278" width="21.5546875" style="35" customWidth="1"/>
    <col min="3279" max="3279" width="16.5546875" style="35" customWidth="1"/>
    <col min="3280" max="3280" width="18.44140625" style="35" customWidth="1"/>
    <col min="3281" max="3531" width="9.109375" style="35"/>
    <col min="3532" max="3532" width="2.44140625" style="35" customWidth="1"/>
    <col min="3533" max="3533" width="5.5546875" style="35" bestFit="1" customWidth="1"/>
    <col min="3534" max="3534" width="21.5546875" style="35" customWidth="1"/>
    <col min="3535" max="3535" width="16.5546875" style="35" customWidth="1"/>
    <col min="3536" max="3536" width="18.44140625" style="35" customWidth="1"/>
    <col min="3537" max="3787" width="9.109375" style="35"/>
    <col min="3788" max="3788" width="2.44140625" style="35" customWidth="1"/>
    <col min="3789" max="3789" width="5.5546875" style="35" bestFit="1" customWidth="1"/>
    <col min="3790" max="3790" width="21.5546875" style="35" customWidth="1"/>
    <col min="3791" max="3791" width="16.5546875" style="35" customWidth="1"/>
    <col min="3792" max="3792" width="18.44140625" style="35" customWidth="1"/>
    <col min="3793" max="4043" width="9.109375" style="35"/>
    <col min="4044" max="4044" width="2.44140625" style="35" customWidth="1"/>
    <col min="4045" max="4045" width="5.5546875" style="35" bestFit="1" customWidth="1"/>
    <col min="4046" max="4046" width="21.5546875" style="35" customWidth="1"/>
    <col min="4047" max="4047" width="16.5546875" style="35" customWidth="1"/>
    <col min="4048" max="4048" width="18.44140625" style="35" customWidth="1"/>
    <col min="4049" max="4299" width="9.109375" style="35"/>
    <col min="4300" max="4300" width="2.44140625" style="35" customWidth="1"/>
    <col min="4301" max="4301" width="5.5546875" style="35" bestFit="1" customWidth="1"/>
    <col min="4302" max="4302" width="21.5546875" style="35" customWidth="1"/>
    <col min="4303" max="4303" width="16.5546875" style="35" customWidth="1"/>
    <col min="4304" max="4304" width="18.44140625" style="35" customWidth="1"/>
    <col min="4305" max="4555" width="9.109375" style="35"/>
    <col min="4556" max="4556" width="2.44140625" style="35" customWidth="1"/>
    <col min="4557" max="4557" width="5.5546875" style="35" bestFit="1" customWidth="1"/>
    <col min="4558" max="4558" width="21.5546875" style="35" customWidth="1"/>
    <col min="4559" max="4559" width="16.5546875" style="35" customWidth="1"/>
    <col min="4560" max="4560" width="18.44140625" style="35" customWidth="1"/>
    <col min="4561" max="4811" width="9.109375" style="35"/>
    <col min="4812" max="4812" width="2.44140625" style="35" customWidth="1"/>
    <col min="4813" max="4813" width="5.5546875" style="35" bestFit="1" customWidth="1"/>
    <col min="4814" max="4814" width="21.5546875" style="35" customWidth="1"/>
    <col min="4815" max="4815" width="16.5546875" style="35" customWidth="1"/>
    <col min="4816" max="4816" width="18.44140625" style="35" customWidth="1"/>
    <col min="4817" max="5067" width="9.109375" style="35"/>
    <col min="5068" max="5068" width="2.44140625" style="35" customWidth="1"/>
    <col min="5069" max="5069" width="5.5546875" style="35" bestFit="1" customWidth="1"/>
    <col min="5070" max="5070" width="21.5546875" style="35" customWidth="1"/>
    <col min="5071" max="5071" width="16.5546875" style="35" customWidth="1"/>
    <col min="5072" max="5072" width="18.44140625" style="35" customWidth="1"/>
    <col min="5073" max="5323" width="9.109375" style="35"/>
    <col min="5324" max="5324" width="2.44140625" style="35" customWidth="1"/>
    <col min="5325" max="5325" width="5.5546875" style="35" bestFit="1" customWidth="1"/>
    <col min="5326" max="5326" width="21.5546875" style="35" customWidth="1"/>
    <col min="5327" max="5327" width="16.5546875" style="35" customWidth="1"/>
    <col min="5328" max="5328" width="18.44140625" style="35" customWidth="1"/>
    <col min="5329" max="5579" width="9.109375" style="35"/>
    <col min="5580" max="5580" width="2.44140625" style="35" customWidth="1"/>
    <col min="5581" max="5581" width="5.5546875" style="35" bestFit="1" customWidth="1"/>
    <col min="5582" max="5582" width="21.5546875" style="35" customWidth="1"/>
    <col min="5583" max="5583" width="16.5546875" style="35" customWidth="1"/>
    <col min="5584" max="5584" width="18.44140625" style="35" customWidth="1"/>
    <col min="5585" max="5835" width="9.109375" style="35"/>
    <col min="5836" max="5836" width="2.44140625" style="35" customWidth="1"/>
    <col min="5837" max="5837" width="5.5546875" style="35" bestFit="1" customWidth="1"/>
    <col min="5838" max="5838" width="21.5546875" style="35" customWidth="1"/>
    <col min="5839" max="5839" width="16.5546875" style="35" customWidth="1"/>
    <col min="5840" max="5840" width="18.44140625" style="35" customWidth="1"/>
    <col min="5841" max="6091" width="9.109375" style="35"/>
    <col min="6092" max="6092" width="2.44140625" style="35" customWidth="1"/>
    <col min="6093" max="6093" width="5.5546875" style="35" bestFit="1" customWidth="1"/>
    <col min="6094" max="6094" width="21.5546875" style="35" customWidth="1"/>
    <col min="6095" max="6095" width="16.5546875" style="35" customWidth="1"/>
    <col min="6096" max="6096" width="18.44140625" style="35" customWidth="1"/>
    <col min="6097" max="6347" width="9.109375" style="35"/>
    <col min="6348" max="6348" width="2.44140625" style="35" customWidth="1"/>
    <col min="6349" max="6349" width="5.5546875" style="35" bestFit="1" customWidth="1"/>
    <col min="6350" max="6350" width="21.5546875" style="35" customWidth="1"/>
    <col min="6351" max="6351" width="16.5546875" style="35" customWidth="1"/>
    <col min="6352" max="6352" width="18.44140625" style="35" customWidth="1"/>
    <col min="6353" max="6603" width="9.109375" style="35"/>
    <col min="6604" max="6604" width="2.44140625" style="35" customWidth="1"/>
    <col min="6605" max="6605" width="5.5546875" style="35" bestFit="1" customWidth="1"/>
    <col min="6606" max="6606" width="21.5546875" style="35" customWidth="1"/>
    <col min="6607" max="6607" width="16.5546875" style="35" customWidth="1"/>
    <col min="6608" max="6608" width="18.44140625" style="35" customWidth="1"/>
    <col min="6609" max="6859" width="9.109375" style="35"/>
    <col min="6860" max="6860" width="2.44140625" style="35" customWidth="1"/>
    <col min="6861" max="6861" width="5.5546875" style="35" bestFit="1" customWidth="1"/>
    <col min="6862" max="6862" width="21.5546875" style="35" customWidth="1"/>
    <col min="6863" max="6863" width="16.5546875" style="35" customWidth="1"/>
    <col min="6864" max="6864" width="18.44140625" style="35" customWidth="1"/>
    <col min="6865" max="7115" width="9.109375" style="35"/>
    <col min="7116" max="7116" width="2.44140625" style="35" customWidth="1"/>
    <col min="7117" max="7117" width="5.5546875" style="35" bestFit="1" customWidth="1"/>
    <col min="7118" max="7118" width="21.5546875" style="35" customWidth="1"/>
    <col min="7119" max="7119" width="16.5546875" style="35" customWidth="1"/>
    <col min="7120" max="7120" width="18.44140625" style="35" customWidth="1"/>
    <col min="7121" max="7371" width="9.109375" style="35"/>
    <col min="7372" max="7372" width="2.44140625" style="35" customWidth="1"/>
    <col min="7373" max="7373" width="5.5546875" style="35" bestFit="1" customWidth="1"/>
    <col min="7374" max="7374" width="21.5546875" style="35" customWidth="1"/>
    <col min="7375" max="7375" width="16.5546875" style="35" customWidth="1"/>
    <col min="7376" max="7376" width="18.44140625" style="35" customWidth="1"/>
    <col min="7377" max="7627" width="9.109375" style="35"/>
    <col min="7628" max="7628" width="2.44140625" style="35" customWidth="1"/>
    <col min="7629" max="7629" width="5.5546875" style="35" bestFit="1" customWidth="1"/>
    <col min="7630" max="7630" width="21.5546875" style="35" customWidth="1"/>
    <col min="7631" max="7631" width="16.5546875" style="35" customWidth="1"/>
    <col min="7632" max="7632" width="18.44140625" style="35" customWidth="1"/>
    <col min="7633" max="7883" width="9.109375" style="35"/>
    <col min="7884" max="7884" width="2.44140625" style="35" customWidth="1"/>
    <col min="7885" max="7885" width="5.5546875" style="35" bestFit="1" customWidth="1"/>
    <col min="7886" max="7886" width="21.5546875" style="35" customWidth="1"/>
    <col min="7887" max="7887" width="16.5546875" style="35" customWidth="1"/>
    <col min="7888" max="7888" width="18.44140625" style="35" customWidth="1"/>
    <col min="7889" max="8139" width="9.109375" style="35"/>
    <col min="8140" max="8140" width="2.44140625" style="35" customWidth="1"/>
    <col min="8141" max="8141" width="5.5546875" style="35" bestFit="1" customWidth="1"/>
    <col min="8142" max="8142" width="21.5546875" style="35" customWidth="1"/>
    <col min="8143" max="8143" width="16.5546875" style="35" customWidth="1"/>
    <col min="8144" max="8144" width="18.44140625" style="35" customWidth="1"/>
    <col min="8145" max="8395" width="9.109375" style="35"/>
    <col min="8396" max="8396" width="2.44140625" style="35" customWidth="1"/>
    <col min="8397" max="8397" width="5.5546875" style="35" bestFit="1" customWidth="1"/>
    <col min="8398" max="8398" width="21.5546875" style="35" customWidth="1"/>
    <col min="8399" max="8399" width="16.5546875" style="35" customWidth="1"/>
    <col min="8400" max="8400" width="18.44140625" style="35" customWidth="1"/>
    <col min="8401" max="8651" width="9.109375" style="35"/>
    <col min="8652" max="8652" width="2.44140625" style="35" customWidth="1"/>
    <col min="8653" max="8653" width="5.5546875" style="35" bestFit="1" customWidth="1"/>
    <col min="8654" max="8654" width="21.5546875" style="35" customWidth="1"/>
    <col min="8655" max="8655" width="16.5546875" style="35" customWidth="1"/>
    <col min="8656" max="8656" width="18.44140625" style="35" customWidth="1"/>
    <col min="8657" max="8907" width="9.109375" style="35"/>
    <col min="8908" max="8908" width="2.44140625" style="35" customWidth="1"/>
    <col min="8909" max="8909" width="5.5546875" style="35" bestFit="1" customWidth="1"/>
    <col min="8910" max="8910" width="21.5546875" style="35" customWidth="1"/>
    <col min="8911" max="8911" width="16.5546875" style="35" customWidth="1"/>
    <col min="8912" max="8912" width="18.44140625" style="35" customWidth="1"/>
    <col min="8913" max="9163" width="9.109375" style="35"/>
    <col min="9164" max="9164" width="2.44140625" style="35" customWidth="1"/>
    <col min="9165" max="9165" width="5.5546875" style="35" bestFit="1" customWidth="1"/>
    <col min="9166" max="9166" width="21.5546875" style="35" customWidth="1"/>
    <col min="9167" max="9167" width="16.5546875" style="35" customWidth="1"/>
    <col min="9168" max="9168" width="18.44140625" style="35" customWidth="1"/>
    <col min="9169" max="9419" width="9.109375" style="35"/>
    <col min="9420" max="9420" width="2.44140625" style="35" customWidth="1"/>
    <col min="9421" max="9421" width="5.5546875" style="35" bestFit="1" customWidth="1"/>
    <col min="9422" max="9422" width="21.5546875" style="35" customWidth="1"/>
    <col min="9423" max="9423" width="16.5546875" style="35" customWidth="1"/>
    <col min="9424" max="9424" width="18.44140625" style="35" customWidth="1"/>
    <col min="9425" max="9675" width="9.109375" style="35"/>
    <col min="9676" max="9676" width="2.44140625" style="35" customWidth="1"/>
    <col min="9677" max="9677" width="5.5546875" style="35" bestFit="1" customWidth="1"/>
    <col min="9678" max="9678" width="21.5546875" style="35" customWidth="1"/>
    <col min="9679" max="9679" width="16.5546875" style="35" customWidth="1"/>
    <col min="9680" max="9680" width="18.44140625" style="35" customWidth="1"/>
    <col min="9681" max="9931" width="9.109375" style="35"/>
    <col min="9932" max="9932" width="2.44140625" style="35" customWidth="1"/>
    <col min="9933" max="9933" width="5.5546875" style="35" bestFit="1" customWidth="1"/>
    <col min="9934" max="9934" width="21.5546875" style="35" customWidth="1"/>
    <col min="9935" max="9935" width="16.5546875" style="35" customWidth="1"/>
    <col min="9936" max="9936" width="18.44140625" style="35" customWidth="1"/>
    <col min="9937" max="10187" width="9.109375" style="35"/>
    <col min="10188" max="10188" width="2.44140625" style="35" customWidth="1"/>
    <col min="10189" max="10189" width="5.5546875" style="35" bestFit="1" customWidth="1"/>
    <col min="10190" max="10190" width="21.5546875" style="35" customWidth="1"/>
    <col min="10191" max="10191" width="16.5546875" style="35" customWidth="1"/>
    <col min="10192" max="10192" width="18.44140625" style="35" customWidth="1"/>
    <col min="10193" max="10443" width="9.109375" style="35"/>
    <col min="10444" max="10444" width="2.44140625" style="35" customWidth="1"/>
    <col min="10445" max="10445" width="5.5546875" style="35" bestFit="1" customWidth="1"/>
    <col min="10446" max="10446" width="21.5546875" style="35" customWidth="1"/>
    <col min="10447" max="10447" width="16.5546875" style="35" customWidth="1"/>
    <col min="10448" max="10448" width="18.44140625" style="35" customWidth="1"/>
    <col min="10449" max="10699" width="9.109375" style="35"/>
    <col min="10700" max="10700" width="2.44140625" style="35" customWidth="1"/>
    <col min="10701" max="10701" width="5.5546875" style="35" bestFit="1" customWidth="1"/>
    <col min="10702" max="10702" width="21.5546875" style="35" customWidth="1"/>
    <col min="10703" max="10703" width="16.5546875" style="35" customWidth="1"/>
    <col min="10704" max="10704" width="18.44140625" style="35" customWidth="1"/>
    <col min="10705" max="10955" width="9.109375" style="35"/>
    <col min="10956" max="10956" width="2.44140625" style="35" customWidth="1"/>
    <col min="10957" max="10957" width="5.5546875" style="35" bestFit="1" customWidth="1"/>
    <col min="10958" max="10958" width="21.5546875" style="35" customWidth="1"/>
    <col min="10959" max="10959" width="16.5546875" style="35" customWidth="1"/>
    <col min="10960" max="10960" width="18.44140625" style="35" customWidth="1"/>
    <col min="10961" max="11211" width="9.109375" style="35"/>
    <col min="11212" max="11212" width="2.44140625" style="35" customWidth="1"/>
    <col min="11213" max="11213" width="5.5546875" style="35" bestFit="1" customWidth="1"/>
    <col min="11214" max="11214" width="21.5546875" style="35" customWidth="1"/>
    <col min="11215" max="11215" width="16.5546875" style="35" customWidth="1"/>
    <col min="11216" max="11216" width="18.44140625" style="35" customWidth="1"/>
    <col min="11217" max="11467" width="9.109375" style="35"/>
    <col min="11468" max="11468" width="2.44140625" style="35" customWidth="1"/>
    <col min="11469" max="11469" width="5.5546875" style="35" bestFit="1" customWidth="1"/>
    <col min="11470" max="11470" width="21.5546875" style="35" customWidth="1"/>
    <col min="11471" max="11471" width="16.5546875" style="35" customWidth="1"/>
    <col min="11472" max="11472" width="18.44140625" style="35" customWidth="1"/>
    <col min="11473" max="11723" width="9.109375" style="35"/>
    <col min="11724" max="11724" width="2.44140625" style="35" customWidth="1"/>
    <col min="11725" max="11725" width="5.5546875" style="35" bestFit="1" customWidth="1"/>
    <col min="11726" max="11726" width="21.5546875" style="35" customWidth="1"/>
    <col min="11727" max="11727" width="16.5546875" style="35" customWidth="1"/>
    <col min="11728" max="11728" width="18.44140625" style="35" customWidth="1"/>
    <col min="11729" max="11979" width="9.109375" style="35"/>
    <col min="11980" max="11980" width="2.44140625" style="35" customWidth="1"/>
    <col min="11981" max="11981" width="5.5546875" style="35" bestFit="1" customWidth="1"/>
    <col min="11982" max="11982" width="21.5546875" style="35" customWidth="1"/>
    <col min="11983" max="11983" width="16.5546875" style="35" customWidth="1"/>
    <col min="11984" max="11984" width="18.44140625" style="35" customWidth="1"/>
    <col min="11985" max="12235" width="9.109375" style="35"/>
    <col min="12236" max="12236" width="2.44140625" style="35" customWidth="1"/>
    <col min="12237" max="12237" width="5.5546875" style="35" bestFit="1" customWidth="1"/>
    <col min="12238" max="12238" width="21.5546875" style="35" customWidth="1"/>
    <col min="12239" max="12239" width="16.5546875" style="35" customWidth="1"/>
    <col min="12240" max="12240" width="18.44140625" style="35" customWidth="1"/>
    <col min="12241" max="12491" width="9.109375" style="35"/>
    <col min="12492" max="12492" width="2.44140625" style="35" customWidth="1"/>
    <col min="12493" max="12493" width="5.5546875" style="35" bestFit="1" customWidth="1"/>
    <col min="12494" max="12494" width="21.5546875" style="35" customWidth="1"/>
    <col min="12495" max="12495" width="16.5546875" style="35" customWidth="1"/>
    <col min="12496" max="12496" width="18.44140625" style="35" customWidth="1"/>
    <col min="12497" max="12747" width="9.109375" style="35"/>
    <col min="12748" max="12748" width="2.44140625" style="35" customWidth="1"/>
    <col min="12749" max="12749" width="5.5546875" style="35" bestFit="1" customWidth="1"/>
    <col min="12750" max="12750" width="21.5546875" style="35" customWidth="1"/>
    <col min="12751" max="12751" width="16.5546875" style="35" customWidth="1"/>
    <col min="12752" max="12752" width="18.44140625" style="35" customWidth="1"/>
    <col min="12753" max="13003" width="9.109375" style="35"/>
    <col min="13004" max="13004" width="2.44140625" style="35" customWidth="1"/>
    <col min="13005" max="13005" width="5.5546875" style="35" bestFit="1" customWidth="1"/>
    <col min="13006" max="13006" width="21.5546875" style="35" customWidth="1"/>
    <col min="13007" max="13007" width="16.5546875" style="35" customWidth="1"/>
    <col min="13008" max="13008" width="18.44140625" style="35" customWidth="1"/>
    <col min="13009" max="13259" width="9.109375" style="35"/>
    <col min="13260" max="13260" width="2.44140625" style="35" customWidth="1"/>
    <col min="13261" max="13261" width="5.5546875" style="35" bestFit="1" customWidth="1"/>
    <col min="13262" max="13262" width="21.5546875" style="35" customWidth="1"/>
    <col min="13263" max="13263" width="16.5546875" style="35" customWidth="1"/>
    <col min="13264" max="13264" width="18.44140625" style="35" customWidth="1"/>
    <col min="13265" max="13515" width="9.109375" style="35"/>
    <col min="13516" max="13516" width="2.44140625" style="35" customWidth="1"/>
    <col min="13517" max="13517" width="5.5546875" style="35" bestFit="1" customWidth="1"/>
    <col min="13518" max="13518" width="21.5546875" style="35" customWidth="1"/>
    <col min="13519" max="13519" width="16.5546875" style="35" customWidth="1"/>
    <col min="13520" max="13520" width="18.44140625" style="35" customWidth="1"/>
    <col min="13521" max="13771" width="9.109375" style="35"/>
    <col min="13772" max="13772" width="2.44140625" style="35" customWidth="1"/>
    <col min="13773" max="13773" width="5.5546875" style="35" bestFit="1" customWidth="1"/>
    <col min="13774" max="13774" width="21.5546875" style="35" customWidth="1"/>
    <col min="13775" max="13775" width="16.5546875" style="35" customWidth="1"/>
    <col min="13776" max="13776" width="18.44140625" style="35" customWidth="1"/>
    <col min="13777" max="14027" width="9.109375" style="35"/>
    <col min="14028" max="14028" width="2.44140625" style="35" customWidth="1"/>
    <col min="14029" max="14029" width="5.5546875" style="35" bestFit="1" customWidth="1"/>
    <col min="14030" max="14030" width="21.5546875" style="35" customWidth="1"/>
    <col min="14031" max="14031" width="16.5546875" style="35" customWidth="1"/>
    <col min="14032" max="14032" width="18.44140625" style="35" customWidth="1"/>
    <col min="14033" max="14283" width="9.109375" style="35"/>
    <col min="14284" max="14284" width="2.44140625" style="35" customWidth="1"/>
    <col min="14285" max="14285" width="5.5546875" style="35" bestFit="1" customWidth="1"/>
    <col min="14286" max="14286" width="21.5546875" style="35" customWidth="1"/>
    <col min="14287" max="14287" width="16.5546875" style="35" customWidth="1"/>
    <col min="14288" max="14288" width="18.44140625" style="35" customWidth="1"/>
    <col min="14289" max="14539" width="9.109375" style="35"/>
    <col min="14540" max="14540" width="2.44140625" style="35" customWidth="1"/>
    <col min="14541" max="14541" width="5.5546875" style="35" bestFit="1" customWidth="1"/>
    <col min="14542" max="14542" width="21.5546875" style="35" customWidth="1"/>
    <col min="14543" max="14543" width="16.5546875" style="35" customWidth="1"/>
    <col min="14544" max="14544" width="18.44140625" style="35" customWidth="1"/>
    <col min="14545" max="14795" width="9.109375" style="35"/>
    <col min="14796" max="14796" width="2.44140625" style="35" customWidth="1"/>
    <col min="14797" max="14797" width="5.5546875" style="35" bestFit="1" customWidth="1"/>
    <col min="14798" max="14798" width="21.5546875" style="35" customWidth="1"/>
    <col min="14799" max="14799" width="16.5546875" style="35" customWidth="1"/>
    <col min="14800" max="14800" width="18.44140625" style="35" customWidth="1"/>
    <col min="14801" max="15051" width="9.109375" style="35"/>
    <col min="15052" max="15052" width="2.44140625" style="35" customWidth="1"/>
    <col min="15053" max="15053" width="5.5546875" style="35" bestFit="1" customWidth="1"/>
    <col min="15054" max="15054" width="21.5546875" style="35" customWidth="1"/>
    <col min="15055" max="15055" width="16.5546875" style="35" customWidth="1"/>
    <col min="15056" max="15056" width="18.44140625" style="35" customWidth="1"/>
    <col min="15057" max="15307" width="9.109375" style="35"/>
    <col min="15308" max="15308" width="2.44140625" style="35" customWidth="1"/>
    <col min="15309" max="15309" width="5.5546875" style="35" bestFit="1" customWidth="1"/>
    <col min="15310" max="15310" width="21.5546875" style="35" customWidth="1"/>
    <col min="15311" max="15311" width="16.5546875" style="35" customWidth="1"/>
    <col min="15312" max="15312" width="18.44140625" style="35" customWidth="1"/>
    <col min="15313" max="15563" width="9.109375" style="35"/>
    <col min="15564" max="15564" width="2.44140625" style="35" customWidth="1"/>
    <col min="15565" max="15565" width="5.5546875" style="35" bestFit="1" customWidth="1"/>
    <col min="15566" max="15566" width="21.5546875" style="35" customWidth="1"/>
    <col min="15567" max="15567" width="16.5546875" style="35" customWidth="1"/>
    <col min="15568" max="15568" width="18.44140625" style="35" customWidth="1"/>
    <col min="15569" max="15819" width="9.109375" style="35"/>
    <col min="15820" max="15820" width="2.44140625" style="35" customWidth="1"/>
    <col min="15821" max="15821" width="5.5546875" style="35" bestFit="1" customWidth="1"/>
    <col min="15822" max="15822" width="21.5546875" style="35" customWidth="1"/>
    <col min="15823" max="15823" width="16.5546875" style="35" customWidth="1"/>
    <col min="15824" max="15824" width="18.44140625" style="35" customWidth="1"/>
    <col min="15825" max="16075" width="9.109375" style="35"/>
    <col min="16076" max="16076" width="2.44140625" style="35" customWidth="1"/>
    <col min="16077" max="16077" width="5.5546875" style="35" bestFit="1" customWidth="1"/>
    <col min="16078" max="16078" width="21.5546875" style="35" customWidth="1"/>
    <col min="16079" max="16079" width="16.5546875" style="35" customWidth="1"/>
    <col min="16080" max="16080" width="18.44140625" style="35" customWidth="1"/>
    <col min="16081" max="16384" width="9.109375" style="35"/>
  </cols>
  <sheetData>
    <row r="1" spans="2:9" ht="12.75" customHeight="1" x14ac:dyDescent="0.25">
      <c r="E1" s="40"/>
      <c r="F1" s="40"/>
      <c r="G1" s="40"/>
      <c r="H1" s="40"/>
    </row>
    <row r="2" spans="2:9" ht="25.5" customHeight="1" x14ac:dyDescent="0.35">
      <c r="B2" s="58" t="s">
        <v>25</v>
      </c>
      <c r="C2" s="58"/>
      <c r="D2" s="4"/>
      <c r="E2" s="5" t="s">
        <v>2</v>
      </c>
      <c r="F2" s="6">
        <v>2294358</v>
      </c>
      <c r="G2" s="7">
        <v>44423</v>
      </c>
      <c r="H2" s="8">
        <f>F2+G2</f>
        <v>2338781</v>
      </c>
    </row>
    <row r="3" spans="2:9" ht="25.5" customHeight="1" x14ac:dyDescent="0.4">
      <c r="B3" s="58"/>
      <c r="C3" s="58"/>
      <c r="D3" s="9" t="s">
        <v>3</v>
      </c>
      <c r="E3" s="10" t="s">
        <v>4</v>
      </c>
      <c r="F3" s="11">
        <f>(3350000-H2)*0.75</f>
        <v>758414.25</v>
      </c>
      <c r="G3" s="10" t="s">
        <v>5</v>
      </c>
      <c r="H3" s="12">
        <f>(3350000-H2)*0.25</f>
        <v>252804.75</v>
      </c>
    </row>
    <row r="4" spans="2:9" ht="25.5" customHeight="1" x14ac:dyDescent="0.4">
      <c r="B4" s="59"/>
      <c r="C4" s="59"/>
      <c r="D4" s="13" t="s">
        <v>24</v>
      </c>
      <c r="E4" s="14" t="s">
        <v>4</v>
      </c>
      <c r="F4" s="15">
        <f>(3500000-H2)*0.75</f>
        <v>870914.25</v>
      </c>
      <c r="G4" s="14" t="s">
        <v>5</v>
      </c>
      <c r="H4" s="16">
        <f>(3500000-H2)*0.25</f>
        <v>290304.75</v>
      </c>
    </row>
    <row r="5" spans="2:9" ht="28.8" x14ac:dyDescent="0.35">
      <c r="B5" s="52" t="s">
        <v>6</v>
      </c>
      <c r="C5" s="53" t="s">
        <v>7</v>
      </c>
      <c r="D5" s="48" t="s">
        <v>0</v>
      </c>
      <c r="E5" s="54" t="s">
        <v>1</v>
      </c>
      <c r="F5" s="55" t="s">
        <v>8</v>
      </c>
      <c r="G5" s="56" t="s">
        <v>9</v>
      </c>
      <c r="H5" s="56" t="s">
        <v>10</v>
      </c>
    </row>
    <row r="6" spans="2:9" ht="0.75" customHeight="1" x14ac:dyDescent="0.35">
      <c r="B6" s="19"/>
      <c r="C6" s="20"/>
      <c r="D6" s="17"/>
      <c r="E6" s="21"/>
      <c r="F6" s="22"/>
      <c r="G6" s="18"/>
      <c r="H6" s="18"/>
    </row>
    <row r="7" spans="2:9" s="3" customFormat="1" ht="31.8" x14ac:dyDescent="0.35">
      <c r="B7" s="42" t="str">
        <f>VLOOKUP(1,averageM,2,FALSE)</f>
        <v>FY22: Maintenance and Coordination of Fisheries Dependent Data Feeds to ACCSP from the State of Rhode Island</v>
      </c>
      <c r="C7" s="42" t="str">
        <f>VLOOKUP(1,averageM,3,FALSE)</f>
        <v>RI DEM</v>
      </c>
      <c r="D7" s="43">
        <f>VLOOKUP(1,averageM,6,FALSE)</f>
        <v>52.978260869565219</v>
      </c>
      <c r="E7" s="25">
        <f>VLOOKUP(1,averageM,7,FALSE)</f>
        <v>27521</v>
      </c>
      <c r="F7" s="26">
        <f t="shared" ref="F7:F14" si="0">F6+E7</f>
        <v>27521</v>
      </c>
      <c r="G7" s="27">
        <f t="shared" ref="G7:G14" si="1">$F$4-F7</f>
        <v>843393.25</v>
      </c>
      <c r="H7" s="27">
        <f t="shared" ref="H7:H14" si="2">$F$3-F7</f>
        <v>730893.25</v>
      </c>
      <c r="I7" s="28"/>
    </row>
    <row r="8" spans="2:9" s="3" customFormat="1" ht="31.8" x14ac:dyDescent="0.35">
      <c r="B8" s="42" t="str">
        <f>VLOOKUP(2,averageM,2,FALSE)</f>
        <v>FY22: SAFIS Expansion of Customizable Fisheries Citizen Science Data Collection Application</v>
      </c>
      <c r="C8" s="42" t="str">
        <f>VLOOKUP(2,averageM,3,FALSE)</f>
        <v>SAFMC/NCDMF</v>
      </c>
      <c r="D8" s="43">
        <f>VLOOKUP(2,averageM,6,FALSE)</f>
        <v>51.204545454545453</v>
      </c>
      <c r="E8" s="25">
        <f>VLOOKUP(2,averageM,7,FALSE)</f>
        <v>116182</v>
      </c>
      <c r="F8" s="26">
        <f t="shared" si="0"/>
        <v>143703</v>
      </c>
      <c r="G8" s="27">
        <f t="shared" si="1"/>
        <v>727211.25</v>
      </c>
      <c r="H8" s="27">
        <f t="shared" si="2"/>
        <v>614711.25</v>
      </c>
    </row>
    <row r="9" spans="2:9" s="3" customFormat="1" ht="21" x14ac:dyDescent="0.35">
      <c r="B9" s="42" t="str">
        <f>VLOOKUP(3,averageM,2,FALSE)</f>
        <v>FY22: Managing Mandatory Dealer Reporting in Maine</v>
      </c>
      <c r="C9" s="42" t="str">
        <f>VLOOKUP(3,averageM,3,FALSE)</f>
        <v>ME DMR</v>
      </c>
      <c r="D9" s="43">
        <f>VLOOKUP(3,averageM,6,FALSE)</f>
        <v>51.152173913043477</v>
      </c>
      <c r="E9" s="25">
        <f>VLOOKUP(3,averageM,7,FALSE)</f>
        <v>61304</v>
      </c>
      <c r="F9" s="26">
        <f t="shared" si="0"/>
        <v>205007</v>
      </c>
      <c r="G9" s="27">
        <f t="shared" si="1"/>
        <v>665907.25</v>
      </c>
      <c r="H9" s="27">
        <f t="shared" si="2"/>
        <v>553407.25</v>
      </c>
    </row>
    <row r="10" spans="2:9" ht="63" x14ac:dyDescent="0.35">
      <c r="B10" s="42" t="str">
        <f>VLOOKUP(4,averageM,2,FALSE)</f>
        <v>Advancing Fishery Dependent Data Collection for Black Sea Bass (Cetropristis striata) in the Southern New England and Mid-Atlantic Region Utilizing Modern Technology and a Vessel Research Fleet Approach</v>
      </c>
      <c r="C10" s="42" t="str">
        <f>VLOOKUP(4,averageM,3,FALSE)</f>
        <v>RI DEM</v>
      </c>
      <c r="D10" s="43">
        <f>VLOOKUP(4,averageM,6,FALSE)</f>
        <v>50.021739130434781</v>
      </c>
      <c r="E10" s="25">
        <f>VLOOKUP(4,averageM,7,FALSE)</f>
        <v>132005</v>
      </c>
      <c r="F10" s="26">
        <f t="shared" si="0"/>
        <v>337012</v>
      </c>
      <c r="G10" s="27">
        <f t="shared" si="1"/>
        <v>533902.25</v>
      </c>
      <c r="H10" s="27">
        <f t="shared" si="2"/>
        <v>421402.25</v>
      </c>
    </row>
    <row r="11" spans="2:9" ht="21" x14ac:dyDescent="0.35">
      <c r="B11" s="42" t="str">
        <f>VLOOKUP(5,averageM,2,FALSE)</f>
        <v>FY22: Managing 100% Lobster Harvester Reporting in Maine</v>
      </c>
      <c r="C11" s="42" t="str">
        <f>VLOOKUP(5,averageM,3,FALSE)</f>
        <v>ME DMR</v>
      </c>
      <c r="D11" s="43">
        <f>VLOOKUP(5,averageM,6,FALSE)</f>
        <v>50</v>
      </c>
      <c r="E11" s="25">
        <f>VLOOKUP(5,averageM,7,FALSE)</f>
        <v>335662</v>
      </c>
      <c r="F11" s="26">
        <f t="shared" si="0"/>
        <v>672674</v>
      </c>
      <c r="G11" s="27">
        <f t="shared" si="1"/>
        <v>198240.25</v>
      </c>
      <c r="H11" s="27">
        <f t="shared" si="2"/>
        <v>85740.25</v>
      </c>
    </row>
    <row r="12" spans="2:9" ht="47.4" x14ac:dyDescent="0.35">
      <c r="B12" s="42" t="str">
        <f>VLOOKUP(6,averageM,2,FALSE)</f>
        <v>Portside Commercial Catch Sampling and Comparative Bycatch Sampling for Atlantic Herring, Atlantic Mackerel and Atlantic Menhaden fisheries</v>
      </c>
      <c r="C12" s="42" t="str">
        <f>VLOOKUP(6,averageM,3,FALSE)</f>
        <v>ME DMR</v>
      </c>
      <c r="D12" s="43">
        <f>VLOOKUP(6,averageM,6,FALSE)</f>
        <v>47.260869565217391</v>
      </c>
      <c r="E12" s="25">
        <f>VLOOKUP(6,averageM,7,FALSE)</f>
        <v>26254</v>
      </c>
      <c r="F12" s="26">
        <f t="shared" si="0"/>
        <v>698928</v>
      </c>
      <c r="G12" s="27">
        <f t="shared" si="1"/>
        <v>171986.25</v>
      </c>
      <c r="H12" s="27">
        <f t="shared" si="2"/>
        <v>59486.25</v>
      </c>
    </row>
    <row r="13" spans="2:9" ht="31.8" x14ac:dyDescent="0.35">
      <c r="B13" s="42" t="str">
        <f>VLOOKUP(7,averageM,2,FALSE)</f>
        <v>Electronic Trip-Level Reporting for the Potomac River Fisheries Commission Commercial Fisheries Sector</v>
      </c>
      <c r="C13" s="42" t="str">
        <f>VLOOKUP(7,averageM,3,FALSE)</f>
        <v>PRFC</v>
      </c>
      <c r="D13" s="43">
        <f>VLOOKUP(7,averageM,6,FALSE)</f>
        <v>39.869565217391305</v>
      </c>
      <c r="E13" s="25">
        <f>VLOOKUP(7,averageM,7,FALSE)</f>
        <v>215612</v>
      </c>
      <c r="F13" s="26">
        <f t="shared" si="0"/>
        <v>914540</v>
      </c>
      <c r="G13" s="27">
        <f t="shared" si="1"/>
        <v>-43625.75</v>
      </c>
      <c r="H13" s="27">
        <f t="shared" si="2"/>
        <v>-156125.75</v>
      </c>
    </row>
    <row r="14" spans="2:9" ht="31.8" x14ac:dyDescent="0.35">
      <c r="B14" s="42" t="str">
        <f>VLOOKUP(8,averageM,2,FALSE)</f>
        <v>Continued development of a mobile application to assist Maritime Law Enforcement Personnel with fisheries enforcement tasks</v>
      </c>
      <c r="C14" s="42" t="str">
        <f>VLOOKUP(8,averageM,3,FALSE)</f>
        <v>RIDEM/GADNR USCG</v>
      </c>
      <c r="D14" s="43">
        <f>VLOOKUP(8,averageM,6,FALSE)</f>
        <v>33.795454545454547</v>
      </c>
      <c r="E14" s="25">
        <f>VLOOKUP(8,averageM,7,FALSE)</f>
        <v>50000</v>
      </c>
      <c r="F14" s="26">
        <f t="shared" si="0"/>
        <v>964540</v>
      </c>
      <c r="G14" s="27">
        <f t="shared" si="1"/>
        <v>-93625.75</v>
      </c>
      <c r="H14" s="27">
        <f t="shared" si="2"/>
        <v>-206125.75</v>
      </c>
    </row>
    <row r="15" spans="2:9" ht="12" customHeight="1" x14ac:dyDescent="0.4">
      <c r="B15" s="36"/>
      <c r="C15" s="29"/>
      <c r="D15" s="37"/>
      <c r="E15" s="31"/>
      <c r="F15" s="31"/>
      <c r="G15" s="31"/>
      <c r="H15" s="31"/>
    </row>
    <row r="16" spans="2:9" ht="21.75" customHeight="1" x14ac:dyDescent="0.4">
      <c r="B16" s="36"/>
      <c r="C16" s="29"/>
      <c r="D16" s="30"/>
      <c r="E16" s="60" t="s">
        <v>19</v>
      </c>
      <c r="F16" s="60"/>
      <c r="G16" s="60"/>
      <c r="H16" s="60"/>
    </row>
    <row r="17" spans="2:8" ht="31.8" x14ac:dyDescent="0.35">
      <c r="B17" s="42" t="str">
        <f>VLOOKUP(1,averageN,2,FALSE)</f>
        <v>North Carolina fishery-dependent biological data transmissions to the Atlantic Coastal Cooperative Statistics Program Data Warehouse</v>
      </c>
      <c r="C17" s="42" t="str">
        <f>VLOOKUP(1,averageN,3,FALSE)</f>
        <v>NCDMF</v>
      </c>
      <c r="D17" s="43">
        <f>VLOOKUP(1,averageN,6,FALSE)</f>
        <v>55.695652173913047</v>
      </c>
      <c r="E17" s="25">
        <f>VLOOKUP(1,averageN,7,FALSE)</f>
        <v>79887</v>
      </c>
      <c r="F17" s="26">
        <f>F16+E17</f>
        <v>79887</v>
      </c>
      <c r="G17" s="27">
        <f>IF($G$14&gt;0,$H$4+$G$14,$H$4)-F17</f>
        <v>210417.75</v>
      </c>
      <c r="H17" s="27">
        <f>IF($H$14&gt;0,$H$3+$H$14,$H$3)-F17</f>
        <v>172917.75</v>
      </c>
    </row>
    <row r="18" spans="2:8" ht="31.8" x14ac:dyDescent="0.35">
      <c r="B18" s="42" t="str">
        <f>VLOOKUP(2,averageN,2,FALSE)</f>
        <v>Implementation of Electronic Quota Monitoring Reporting in North Carolina</v>
      </c>
      <c r="C18" s="42" t="str">
        <f>VLOOKUP(2,averageN,3,FALSE)</f>
        <v>NCDMF</v>
      </c>
      <c r="D18" s="43">
        <f>VLOOKUP(2,averageN,6,FALSE)</f>
        <v>51.804347826086953</v>
      </c>
      <c r="E18" s="25">
        <f>VLOOKUP(2,averageN,7,FALSE)</f>
        <v>63854</v>
      </c>
      <c r="F18" s="26">
        <f t="shared" ref="F18:F20" si="3">F17+E18</f>
        <v>143741</v>
      </c>
      <c r="G18" s="27">
        <f t="shared" ref="G18:G20" si="4">IF($G$14&gt;0,$H$4+$G$14,$H$4)-F18</f>
        <v>146563.75</v>
      </c>
      <c r="H18" s="27">
        <f t="shared" ref="H18:H20" si="5">IF($H$14&gt;0,$H$3+$H$14,$H$3)-F18</f>
        <v>109063.75</v>
      </c>
    </row>
    <row r="19" spans="2:8" ht="47.4" x14ac:dyDescent="0.35">
      <c r="B19" s="42" t="str">
        <f>VLOOKUP(3,averageN,2,FALSE)</f>
        <v>Integration of vessel monitoring systems and electronic reporting in SAFIS and SAFIS applications through API development and field testing of multiple hardware options: Phase 2</v>
      </c>
      <c r="C19" s="42" t="str">
        <f>VLOOKUP(3,averageN,3,FALSE)</f>
        <v>MADMF/RIDMF</v>
      </c>
      <c r="D19" s="43">
        <f>VLOOKUP(3,averageN,6,FALSE)</f>
        <v>48.386363636363633</v>
      </c>
      <c r="E19" s="25">
        <f>VLOOKUP(3,averageN,7,FALSE)</f>
        <v>86244</v>
      </c>
      <c r="F19" s="26">
        <f t="shared" si="3"/>
        <v>229985</v>
      </c>
      <c r="G19" s="27">
        <f t="shared" si="4"/>
        <v>60319.75</v>
      </c>
      <c r="H19" s="27">
        <f t="shared" si="5"/>
        <v>22819.75</v>
      </c>
    </row>
    <row r="20" spans="2:8" ht="31.8" x14ac:dyDescent="0.35">
      <c r="B20" s="42" t="str">
        <f>VLOOKUP(4,averageN,2,FALSE)</f>
        <v>FY22: DNA and Bycatch Characterization of New Jersey’s American Shad Fishery in Delaware Bay</v>
      </c>
      <c r="C20" s="42" t="str">
        <f>VLOOKUP(4,averageN,3,FALSE)</f>
        <v>NJDFW</v>
      </c>
      <c r="D20" s="43">
        <f>VLOOKUP(4,averageN,6,FALSE)</f>
        <v>44.086956521739133</v>
      </c>
      <c r="E20" s="25">
        <f>VLOOKUP(4,averageN,7,FALSE)</f>
        <v>88886</v>
      </c>
      <c r="F20" s="26">
        <f t="shared" si="3"/>
        <v>318871</v>
      </c>
      <c r="G20" s="27">
        <f t="shared" si="4"/>
        <v>-28566.25</v>
      </c>
      <c r="H20" s="27">
        <f t="shared" si="5"/>
        <v>-66066.25</v>
      </c>
    </row>
    <row r="21" spans="2:8" x14ac:dyDescent="0.3">
      <c r="G21" s="41"/>
      <c r="H21" s="41"/>
    </row>
    <row r="22" spans="2:8" x14ac:dyDescent="0.3">
      <c r="G22" s="41"/>
      <c r="H22" s="41"/>
    </row>
  </sheetData>
  <mergeCells count="2">
    <mergeCell ref="B2:C4"/>
    <mergeCell ref="E16:H16"/>
  </mergeCells>
  <conditionalFormatting sqref="G7:H14">
    <cfRule type="cellIs" dxfId="1" priority="2" operator="lessThan">
      <formula>0</formula>
    </cfRule>
  </conditionalFormatting>
  <conditionalFormatting sqref="G17:H20">
    <cfRule type="cellIs" dxfId="0" priority="1" operator="lessThan">
      <formula>0</formula>
    </cfRule>
  </conditionalFormatting>
  <pageMargins left="0.7" right="0.7" top="0.75" bottom="0.75" header="0.3" footer="0.3"/>
  <pageSetup scale="75" fitToHeight="0" orientation="landscape" horizontalDpi="4294967293" verticalDpi="300" r:id="rId1"/>
  <drawing r:id="rId2"/>
  <picture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92D050"/>
    <pageSetUpPr fitToPage="1"/>
  </sheetPr>
  <dimension ref="B1:I22"/>
  <sheetViews>
    <sheetView showGridLines="0" zoomScaleNormal="100" workbookViewId="0">
      <pane ySplit="5" topLeftCell="A6" activePane="bottomLeft" state="frozen"/>
      <selection activeCell="C20" sqref="C20"/>
      <selection pane="bottomLeft" activeCell="B11" sqref="B11"/>
    </sheetView>
  </sheetViews>
  <sheetFormatPr defaultRowHeight="14.4" x14ac:dyDescent="0.3"/>
  <cols>
    <col min="1" max="1" width="4.44140625" style="35" customWidth="1"/>
    <col min="2" max="2" width="65.88671875" style="35" customWidth="1"/>
    <col min="3" max="3" width="11.44140625" style="35" customWidth="1"/>
    <col min="4" max="4" width="13.33203125" style="35" customWidth="1"/>
    <col min="5" max="5" width="17.88671875" style="35" bestFit="1" customWidth="1"/>
    <col min="6" max="6" width="18" style="34" customWidth="1"/>
    <col min="7" max="7" width="18.109375" style="34" customWidth="1"/>
    <col min="8" max="8" width="17.5546875" style="34" customWidth="1"/>
    <col min="9" max="203" width="9.109375" style="35"/>
    <col min="204" max="204" width="2.44140625" style="35" customWidth="1"/>
    <col min="205" max="205" width="5.5546875" style="35" bestFit="1" customWidth="1"/>
    <col min="206" max="206" width="21.5546875" style="35" customWidth="1"/>
    <col min="207" max="207" width="16.5546875" style="35" customWidth="1"/>
    <col min="208" max="208" width="18.44140625" style="35" customWidth="1"/>
    <col min="209" max="459" width="9.109375" style="35"/>
    <col min="460" max="460" width="2.44140625" style="35" customWidth="1"/>
    <col min="461" max="461" width="5.5546875" style="35" bestFit="1" customWidth="1"/>
    <col min="462" max="462" width="21.5546875" style="35" customWidth="1"/>
    <col min="463" max="463" width="16.5546875" style="35" customWidth="1"/>
    <col min="464" max="464" width="18.44140625" style="35" customWidth="1"/>
    <col min="465" max="715" width="9.109375" style="35"/>
    <col min="716" max="716" width="2.44140625" style="35" customWidth="1"/>
    <col min="717" max="717" width="5.5546875" style="35" bestFit="1" customWidth="1"/>
    <col min="718" max="718" width="21.5546875" style="35" customWidth="1"/>
    <col min="719" max="719" width="16.5546875" style="35" customWidth="1"/>
    <col min="720" max="720" width="18.44140625" style="35" customWidth="1"/>
    <col min="721" max="971" width="9.109375" style="35"/>
    <col min="972" max="972" width="2.44140625" style="35" customWidth="1"/>
    <col min="973" max="973" width="5.5546875" style="35" bestFit="1" customWidth="1"/>
    <col min="974" max="974" width="21.5546875" style="35" customWidth="1"/>
    <col min="975" max="975" width="16.5546875" style="35" customWidth="1"/>
    <col min="976" max="976" width="18.44140625" style="35" customWidth="1"/>
    <col min="977" max="1227" width="9.109375" style="35"/>
    <col min="1228" max="1228" width="2.44140625" style="35" customWidth="1"/>
    <col min="1229" max="1229" width="5.5546875" style="35" bestFit="1" customWidth="1"/>
    <col min="1230" max="1230" width="21.5546875" style="35" customWidth="1"/>
    <col min="1231" max="1231" width="16.5546875" style="35" customWidth="1"/>
    <col min="1232" max="1232" width="18.44140625" style="35" customWidth="1"/>
    <col min="1233" max="1483" width="9.109375" style="35"/>
    <col min="1484" max="1484" width="2.44140625" style="35" customWidth="1"/>
    <col min="1485" max="1485" width="5.5546875" style="35" bestFit="1" customWidth="1"/>
    <col min="1486" max="1486" width="21.5546875" style="35" customWidth="1"/>
    <col min="1487" max="1487" width="16.5546875" style="35" customWidth="1"/>
    <col min="1488" max="1488" width="18.44140625" style="35" customWidth="1"/>
    <col min="1489" max="1739" width="9.109375" style="35"/>
    <col min="1740" max="1740" width="2.44140625" style="35" customWidth="1"/>
    <col min="1741" max="1741" width="5.5546875" style="35" bestFit="1" customWidth="1"/>
    <col min="1742" max="1742" width="21.5546875" style="35" customWidth="1"/>
    <col min="1743" max="1743" width="16.5546875" style="35" customWidth="1"/>
    <col min="1744" max="1744" width="18.44140625" style="35" customWidth="1"/>
    <col min="1745" max="1995" width="9.109375" style="35"/>
    <col min="1996" max="1996" width="2.44140625" style="35" customWidth="1"/>
    <col min="1997" max="1997" width="5.5546875" style="35" bestFit="1" customWidth="1"/>
    <col min="1998" max="1998" width="21.5546875" style="35" customWidth="1"/>
    <col min="1999" max="1999" width="16.5546875" style="35" customWidth="1"/>
    <col min="2000" max="2000" width="18.44140625" style="35" customWidth="1"/>
    <col min="2001" max="2251" width="9.109375" style="35"/>
    <col min="2252" max="2252" width="2.44140625" style="35" customWidth="1"/>
    <col min="2253" max="2253" width="5.5546875" style="35" bestFit="1" customWidth="1"/>
    <col min="2254" max="2254" width="21.5546875" style="35" customWidth="1"/>
    <col min="2255" max="2255" width="16.5546875" style="35" customWidth="1"/>
    <col min="2256" max="2256" width="18.44140625" style="35" customWidth="1"/>
    <col min="2257" max="2507" width="9.109375" style="35"/>
    <col min="2508" max="2508" width="2.44140625" style="35" customWidth="1"/>
    <col min="2509" max="2509" width="5.5546875" style="35" bestFit="1" customWidth="1"/>
    <col min="2510" max="2510" width="21.5546875" style="35" customWidth="1"/>
    <col min="2511" max="2511" width="16.5546875" style="35" customWidth="1"/>
    <col min="2512" max="2512" width="18.44140625" style="35" customWidth="1"/>
    <col min="2513" max="2763" width="9.109375" style="35"/>
    <col min="2764" max="2764" width="2.44140625" style="35" customWidth="1"/>
    <col min="2765" max="2765" width="5.5546875" style="35" bestFit="1" customWidth="1"/>
    <col min="2766" max="2766" width="21.5546875" style="35" customWidth="1"/>
    <col min="2767" max="2767" width="16.5546875" style="35" customWidth="1"/>
    <col min="2768" max="2768" width="18.44140625" style="35" customWidth="1"/>
    <col min="2769" max="3019" width="9.109375" style="35"/>
    <col min="3020" max="3020" width="2.44140625" style="35" customWidth="1"/>
    <col min="3021" max="3021" width="5.5546875" style="35" bestFit="1" customWidth="1"/>
    <col min="3022" max="3022" width="21.5546875" style="35" customWidth="1"/>
    <col min="3023" max="3023" width="16.5546875" style="35" customWidth="1"/>
    <col min="3024" max="3024" width="18.44140625" style="35" customWidth="1"/>
    <col min="3025" max="3275" width="9.109375" style="35"/>
    <col min="3276" max="3276" width="2.44140625" style="35" customWidth="1"/>
    <col min="3277" max="3277" width="5.5546875" style="35" bestFit="1" customWidth="1"/>
    <col min="3278" max="3278" width="21.5546875" style="35" customWidth="1"/>
    <col min="3279" max="3279" width="16.5546875" style="35" customWidth="1"/>
    <col min="3280" max="3280" width="18.44140625" style="35" customWidth="1"/>
    <col min="3281" max="3531" width="9.109375" style="35"/>
    <col min="3532" max="3532" width="2.44140625" style="35" customWidth="1"/>
    <col min="3533" max="3533" width="5.5546875" style="35" bestFit="1" customWidth="1"/>
    <col min="3534" max="3534" width="21.5546875" style="35" customWidth="1"/>
    <col min="3535" max="3535" width="16.5546875" style="35" customWidth="1"/>
    <col min="3536" max="3536" width="18.44140625" style="35" customWidth="1"/>
    <col min="3537" max="3787" width="9.109375" style="35"/>
    <col min="3788" max="3788" width="2.44140625" style="35" customWidth="1"/>
    <col min="3789" max="3789" width="5.5546875" style="35" bestFit="1" customWidth="1"/>
    <col min="3790" max="3790" width="21.5546875" style="35" customWidth="1"/>
    <col min="3791" max="3791" width="16.5546875" style="35" customWidth="1"/>
    <col min="3792" max="3792" width="18.44140625" style="35" customWidth="1"/>
    <col min="3793" max="4043" width="9.109375" style="35"/>
    <col min="4044" max="4044" width="2.44140625" style="35" customWidth="1"/>
    <col min="4045" max="4045" width="5.5546875" style="35" bestFit="1" customWidth="1"/>
    <col min="4046" max="4046" width="21.5546875" style="35" customWidth="1"/>
    <col min="4047" max="4047" width="16.5546875" style="35" customWidth="1"/>
    <col min="4048" max="4048" width="18.44140625" style="35" customWidth="1"/>
    <col min="4049" max="4299" width="9.109375" style="35"/>
    <col min="4300" max="4300" width="2.44140625" style="35" customWidth="1"/>
    <col min="4301" max="4301" width="5.5546875" style="35" bestFit="1" customWidth="1"/>
    <col min="4302" max="4302" width="21.5546875" style="35" customWidth="1"/>
    <col min="4303" max="4303" width="16.5546875" style="35" customWidth="1"/>
    <col min="4304" max="4304" width="18.44140625" style="35" customWidth="1"/>
    <col min="4305" max="4555" width="9.109375" style="35"/>
    <col min="4556" max="4556" width="2.44140625" style="35" customWidth="1"/>
    <col min="4557" max="4557" width="5.5546875" style="35" bestFit="1" customWidth="1"/>
    <col min="4558" max="4558" width="21.5546875" style="35" customWidth="1"/>
    <col min="4559" max="4559" width="16.5546875" style="35" customWidth="1"/>
    <col min="4560" max="4560" width="18.44140625" style="35" customWidth="1"/>
    <col min="4561" max="4811" width="9.109375" style="35"/>
    <col min="4812" max="4812" width="2.44140625" style="35" customWidth="1"/>
    <col min="4813" max="4813" width="5.5546875" style="35" bestFit="1" customWidth="1"/>
    <col min="4814" max="4814" width="21.5546875" style="35" customWidth="1"/>
    <col min="4815" max="4815" width="16.5546875" style="35" customWidth="1"/>
    <col min="4816" max="4816" width="18.44140625" style="35" customWidth="1"/>
    <col min="4817" max="5067" width="9.109375" style="35"/>
    <col min="5068" max="5068" width="2.44140625" style="35" customWidth="1"/>
    <col min="5069" max="5069" width="5.5546875" style="35" bestFit="1" customWidth="1"/>
    <col min="5070" max="5070" width="21.5546875" style="35" customWidth="1"/>
    <col min="5071" max="5071" width="16.5546875" style="35" customWidth="1"/>
    <col min="5072" max="5072" width="18.44140625" style="35" customWidth="1"/>
    <col min="5073" max="5323" width="9.109375" style="35"/>
    <col min="5324" max="5324" width="2.44140625" style="35" customWidth="1"/>
    <col min="5325" max="5325" width="5.5546875" style="35" bestFit="1" customWidth="1"/>
    <col min="5326" max="5326" width="21.5546875" style="35" customWidth="1"/>
    <col min="5327" max="5327" width="16.5546875" style="35" customWidth="1"/>
    <col min="5328" max="5328" width="18.44140625" style="35" customWidth="1"/>
    <col min="5329" max="5579" width="9.109375" style="35"/>
    <col min="5580" max="5580" width="2.44140625" style="35" customWidth="1"/>
    <col min="5581" max="5581" width="5.5546875" style="35" bestFit="1" customWidth="1"/>
    <col min="5582" max="5582" width="21.5546875" style="35" customWidth="1"/>
    <col min="5583" max="5583" width="16.5546875" style="35" customWidth="1"/>
    <col min="5584" max="5584" width="18.44140625" style="35" customWidth="1"/>
    <col min="5585" max="5835" width="9.109375" style="35"/>
    <col min="5836" max="5836" width="2.44140625" style="35" customWidth="1"/>
    <col min="5837" max="5837" width="5.5546875" style="35" bestFit="1" customWidth="1"/>
    <col min="5838" max="5838" width="21.5546875" style="35" customWidth="1"/>
    <col min="5839" max="5839" width="16.5546875" style="35" customWidth="1"/>
    <col min="5840" max="5840" width="18.44140625" style="35" customWidth="1"/>
    <col min="5841" max="6091" width="9.109375" style="35"/>
    <col min="6092" max="6092" width="2.44140625" style="35" customWidth="1"/>
    <col min="6093" max="6093" width="5.5546875" style="35" bestFit="1" customWidth="1"/>
    <col min="6094" max="6094" width="21.5546875" style="35" customWidth="1"/>
    <col min="6095" max="6095" width="16.5546875" style="35" customWidth="1"/>
    <col min="6096" max="6096" width="18.44140625" style="35" customWidth="1"/>
    <col min="6097" max="6347" width="9.109375" style="35"/>
    <col min="6348" max="6348" width="2.44140625" style="35" customWidth="1"/>
    <col min="6349" max="6349" width="5.5546875" style="35" bestFit="1" customWidth="1"/>
    <col min="6350" max="6350" width="21.5546875" style="35" customWidth="1"/>
    <col min="6351" max="6351" width="16.5546875" style="35" customWidth="1"/>
    <col min="6352" max="6352" width="18.44140625" style="35" customWidth="1"/>
    <col min="6353" max="6603" width="9.109375" style="35"/>
    <col min="6604" max="6604" width="2.44140625" style="35" customWidth="1"/>
    <col min="6605" max="6605" width="5.5546875" style="35" bestFit="1" customWidth="1"/>
    <col min="6606" max="6606" width="21.5546875" style="35" customWidth="1"/>
    <col min="6607" max="6607" width="16.5546875" style="35" customWidth="1"/>
    <col min="6608" max="6608" width="18.44140625" style="35" customWidth="1"/>
    <col min="6609" max="6859" width="9.109375" style="35"/>
    <col min="6860" max="6860" width="2.44140625" style="35" customWidth="1"/>
    <col min="6861" max="6861" width="5.5546875" style="35" bestFit="1" customWidth="1"/>
    <col min="6862" max="6862" width="21.5546875" style="35" customWidth="1"/>
    <col min="6863" max="6863" width="16.5546875" style="35" customWidth="1"/>
    <col min="6864" max="6864" width="18.44140625" style="35" customWidth="1"/>
    <col min="6865" max="7115" width="9.109375" style="35"/>
    <col min="7116" max="7116" width="2.44140625" style="35" customWidth="1"/>
    <col min="7117" max="7117" width="5.5546875" style="35" bestFit="1" customWidth="1"/>
    <col min="7118" max="7118" width="21.5546875" style="35" customWidth="1"/>
    <col min="7119" max="7119" width="16.5546875" style="35" customWidth="1"/>
    <col min="7120" max="7120" width="18.44140625" style="35" customWidth="1"/>
    <col min="7121" max="7371" width="9.109375" style="35"/>
    <col min="7372" max="7372" width="2.44140625" style="35" customWidth="1"/>
    <col min="7373" max="7373" width="5.5546875" style="35" bestFit="1" customWidth="1"/>
    <col min="7374" max="7374" width="21.5546875" style="35" customWidth="1"/>
    <col min="7375" max="7375" width="16.5546875" style="35" customWidth="1"/>
    <col min="7376" max="7376" width="18.44140625" style="35" customWidth="1"/>
    <col min="7377" max="7627" width="9.109375" style="35"/>
    <col min="7628" max="7628" width="2.44140625" style="35" customWidth="1"/>
    <col min="7629" max="7629" width="5.5546875" style="35" bestFit="1" customWidth="1"/>
    <col min="7630" max="7630" width="21.5546875" style="35" customWidth="1"/>
    <col min="7631" max="7631" width="16.5546875" style="35" customWidth="1"/>
    <col min="7632" max="7632" width="18.44140625" style="35" customWidth="1"/>
    <col min="7633" max="7883" width="9.109375" style="35"/>
    <col min="7884" max="7884" width="2.44140625" style="35" customWidth="1"/>
    <col min="7885" max="7885" width="5.5546875" style="35" bestFit="1" customWidth="1"/>
    <col min="7886" max="7886" width="21.5546875" style="35" customWidth="1"/>
    <col min="7887" max="7887" width="16.5546875" style="35" customWidth="1"/>
    <col min="7888" max="7888" width="18.44140625" style="35" customWidth="1"/>
    <col min="7889" max="8139" width="9.109375" style="35"/>
    <col min="8140" max="8140" width="2.44140625" style="35" customWidth="1"/>
    <col min="8141" max="8141" width="5.5546875" style="35" bestFit="1" customWidth="1"/>
    <col min="8142" max="8142" width="21.5546875" style="35" customWidth="1"/>
    <col min="8143" max="8143" width="16.5546875" style="35" customWidth="1"/>
    <col min="8144" max="8144" width="18.44140625" style="35" customWidth="1"/>
    <col min="8145" max="8395" width="9.109375" style="35"/>
    <col min="8396" max="8396" width="2.44140625" style="35" customWidth="1"/>
    <col min="8397" max="8397" width="5.5546875" style="35" bestFit="1" customWidth="1"/>
    <col min="8398" max="8398" width="21.5546875" style="35" customWidth="1"/>
    <col min="8399" max="8399" width="16.5546875" style="35" customWidth="1"/>
    <col min="8400" max="8400" width="18.44140625" style="35" customWidth="1"/>
    <col min="8401" max="8651" width="9.109375" style="35"/>
    <col min="8652" max="8652" width="2.44140625" style="35" customWidth="1"/>
    <col min="8653" max="8653" width="5.5546875" style="35" bestFit="1" customWidth="1"/>
    <col min="8654" max="8654" width="21.5546875" style="35" customWidth="1"/>
    <col min="8655" max="8655" width="16.5546875" style="35" customWidth="1"/>
    <col min="8656" max="8656" width="18.44140625" style="35" customWidth="1"/>
    <col min="8657" max="8907" width="9.109375" style="35"/>
    <col min="8908" max="8908" width="2.44140625" style="35" customWidth="1"/>
    <col min="8909" max="8909" width="5.5546875" style="35" bestFit="1" customWidth="1"/>
    <col min="8910" max="8910" width="21.5546875" style="35" customWidth="1"/>
    <col min="8911" max="8911" width="16.5546875" style="35" customWidth="1"/>
    <col min="8912" max="8912" width="18.44140625" style="35" customWidth="1"/>
    <col min="8913" max="9163" width="9.109375" style="35"/>
    <col min="9164" max="9164" width="2.44140625" style="35" customWidth="1"/>
    <col min="9165" max="9165" width="5.5546875" style="35" bestFit="1" customWidth="1"/>
    <col min="9166" max="9166" width="21.5546875" style="35" customWidth="1"/>
    <col min="9167" max="9167" width="16.5546875" style="35" customWidth="1"/>
    <col min="9168" max="9168" width="18.44140625" style="35" customWidth="1"/>
    <col min="9169" max="9419" width="9.109375" style="35"/>
    <col min="9420" max="9420" width="2.44140625" style="35" customWidth="1"/>
    <col min="9421" max="9421" width="5.5546875" style="35" bestFit="1" customWidth="1"/>
    <col min="9422" max="9422" width="21.5546875" style="35" customWidth="1"/>
    <col min="9423" max="9423" width="16.5546875" style="35" customWidth="1"/>
    <col min="9424" max="9424" width="18.44140625" style="35" customWidth="1"/>
    <col min="9425" max="9675" width="9.109375" style="35"/>
    <col min="9676" max="9676" width="2.44140625" style="35" customWidth="1"/>
    <col min="9677" max="9677" width="5.5546875" style="35" bestFit="1" customWidth="1"/>
    <col min="9678" max="9678" width="21.5546875" style="35" customWidth="1"/>
    <col min="9679" max="9679" width="16.5546875" style="35" customWidth="1"/>
    <col min="9680" max="9680" width="18.44140625" style="35" customWidth="1"/>
    <col min="9681" max="9931" width="9.109375" style="35"/>
    <col min="9932" max="9932" width="2.44140625" style="35" customWidth="1"/>
    <col min="9933" max="9933" width="5.5546875" style="35" bestFit="1" customWidth="1"/>
    <col min="9934" max="9934" width="21.5546875" style="35" customWidth="1"/>
    <col min="9935" max="9935" width="16.5546875" style="35" customWidth="1"/>
    <col min="9936" max="9936" width="18.44140625" style="35" customWidth="1"/>
    <col min="9937" max="10187" width="9.109375" style="35"/>
    <col min="10188" max="10188" width="2.44140625" style="35" customWidth="1"/>
    <col min="10189" max="10189" width="5.5546875" style="35" bestFit="1" customWidth="1"/>
    <col min="10190" max="10190" width="21.5546875" style="35" customWidth="1"/>
    <col min="10191" max="10191" width="16.5546875" style="35" customWidth="1"/>
    <col min="10192" max="10192" width="18.44140625" style="35" customWidth="1"/>
    <col min="10193" max="10443" width="9.109375" style="35"/>
    <col min="10444" max="10444" width="2.44140625" style="35" customWidth="1"/>
    <col min="10445" max="10445" width="5.5546875" style="35" bestFit="1" customWidth="1"/>
    <col min="10446" max="10446" width="21.5546875" style="35" customWidth="1"/>
    <col min="10447" max="10447" width="16.5546875" style="35" customWidth="1"/>
    <col min="10448" max="10448" width="18.44140625" style="35" customWidth="1"/>
    <col min="10449" max="10699" width="9.109375" style="35"/>
    <col min="10700" max="10700" width="2.44140625" style="35" customWidth="1"/>
    <col min="10701" max="10701" width="5.5546875" style="35" bestFit="1" customWidth="1"/>
    <col min="10702" max="10702" width="21.5546875" style="35" customWidth="1"/>
    <col min="10703" max="10703" width="16.5546875" style="35" customWidth="1"/>
    <col min="10704" max="10704" width="18.44140625" style="35" customWidth="1"/>
    <col min="10705" max="10955" width="9.109375" style="35"/>
    <col min="10956" max="10956" width="2.44140625" style="35" customWidth="1"/>
    <col min="10957" max="10957" width="5.5546875" style="35" bestFit="1" customWidth="1"/>
    <col min="10958" max="10958" width="21.5546875" style="35" customWidth="1"/>
    <col min="10959" max="10959" width="16.5546875" style="35" customWidth="1"/>
    <col min="10960" max="10960" width="18.44140625" style="35" customWidth="1"/>
    <col min="10961" max="11211" width="9.109375" style="35"/>
    <col min="11212" max="11212" width="2.44140625" style="35" customWidth="1"/>
    <col min="11213" max="11213" width="5.5546875" style="35" bestFit="1" customWidth="1"/>
    <col min="11214" max="11214" width="21.5546875" style="35" customWidth="1"/>
    <col min="11215" max="11215" width="16.5546875" style="35" customWidth="1"/>
    <col min="11216" max="11216" width="18.44140625" style="35" customWidth="1"/>
    <col min="11217" max="11467" width="9.109375" style="35"/>
    <col min="11468" max="11468" width="2.44140625" style="35" customWidth="1"/>
    <col min="11469" max="11469" width="5.5546875" style="35" bestFit="1" customWidth="1"/>
    <col min="11470" max="11470" width="21.5546875" style="35" customWidth="1"/>
    <col min="11471" max="11471" width="16.5546875" style="35" customWidth="1"/>
    <col min="11472" max="11472" width="18.44140625" style="35" customWidth="1"/>
    <col min="11473" max="11723" width="9.109375" style="35"/>
    <col min="11724" max="11724" width="2.44140625" style="35" customWidth="1"/>
    <col min="11725" max="11725" width="5.5546875" style="35" bestFit="1" customWidth="1"/>
    <col min="11726" max="11726" width="21.5546875" style="35" customWidth="1"/>
    <col min="11727" max="11727" width="16.5546875" style="35" customWidth="1"/>
    <col min="11728" max="11728" width="18.44140625" style="35" customWidth="1"/>
    <col min="11729" max="11979" width="9.109375" style="35"/>
    <col min="11980" max="11980" width="2.44140625" style="35" customWidth="1"/>
    <col min="11981" max="11981" width="5.5546875" style="35" bestFit="1" customWidth="1"/>
    <col min="11982" max="11982" width="21.5546875" style="35" customWidth="1"/>
    <col min="11983" max="11983" width="16.5546875" style="35" customWidth="1"/>
    <col min="11984" max="11984" width="18.44140625" style="35" customWidth="1"/>
    <col min="11985" max="12235" width="9.109375" style="35"/>
    <col min="12236" max="12236" width="2.44140625" style="35" customWidth="1"/>
    <col min="12237" max="12237" width="5.5546875" style="35" bestFit="1" customWidth="1"/>
    <col min="12238" max="12238" width="21.5546875" style="35" customWidth="1"/>
    <col min="12239" max="12239" width="16.5546875" style="35" customWidth="1"/>
    <col min="12240" max="12240" width="18.44140625" style="35" customWidth="1"/>
    <col min="12241" max="12491" width="9.109375" style="35"/>
    <col min="12492" max="12492" width="2.44140625" style="35" customWidth="1"/>
    <col min="12493" max="12493" width="5.5546875" style="35" bestFit="1" customWidth="1"/>
    <col min="12494" max="12494" width="21.5546875" style="35" customWidth="1"/>
    <col min="12495" max="12495" width="16.5546875" style="35" customWidth="1"/>
    <col min="12496" max="12496" width="18.44140625" style="35" customWidth="1"/>
    <col min="12497" max="12747" width="9.109375" style="35"/>
    <col min="12748" max="12748" width="2.44140625" style="35" customWidth="1"/>
    <col min="12749" max="12749" width="5.5546875" style="35" bestFit="1" customWidth="1"/>
    <col min="12750" max="12750" width="21.5546875" style="35" customWidth="1"/>
    <col min="12751" max="12751" width="16.5546875" style="35" customWidth="1"/>
    <col min="12752" max="12752" width="18.44140625" style="35" customWidth="1"/>
    <col min="12753" max="13003" width="9.109375" style="35"/>
    <col min="13004" max="13004" width="2.44140625" style="35" customWidth="1"/>
    <col min="13005" max="13005" width="5.5546875" style="35" bestFit="1" customWidth="1"/>
    <col min="13006" max="13006" width="21.5546875" style="35" customWidth="1"/>
    <col min="13007" max="13007" width="16.5546875" style="35" customWidth="1"/>
    <col min="13008" max="13008" width="18.44140625" style="35" customWidth="1"/>
    <col min="13009" max="13259" width="9.109375" style="35"/>
    <col min="13260" max="13260" width="2.44140625" style="35" customWidth="1"/>
    <col min="13261" max="13261" width="5.5546875" style="35" bestFit="1" customWidth="1"/>
    <col min="13262" max="13262" width="21.5546875" style="35" customWidth="1"/>
    <col min="13263" max="13263" width="16.5546875" style="35" customWidth="1"/>
    <col min="13264" max="13264" width="18.44140625" style="35" customWidth="1"/>
    <col min="13265" max="13515" width="9.109375" style="35"/>
    <col min="13516" max="13516" width="2.44140625" style="35" customWidth="1"/>
    <col min="13517" max="13517" width="5.5546875" style="35" bestFit="1" customWidth="1"/>
    <col min="13518" max="13518" width="21.5546875" style="35" customWidth="1"/>
    <col min="13519" max="13519" width="16.5546875" style="35" customWidth="1"/>
    <col min="13520" max="13520" width="18.44140625" style="35" customWidth="1"/>
    <col min="13521" max="13771" width="9.109375" style="35"/>
    <col min="13772" max="13772" width="2.44140625" style="35" customWidth="1"/>
    <col min="13773" max="13773" width="5.5546875" style="35" bestFit="1" customWidth="1"/>
    <col min="13774" max="13774" width="21.5546875" style="35" customWidth="1"/>
    <col min="13775" max="13775" width="16.5546875" style="35" customWidth="1"/>
    <col min="13776" max="13776" width="18.44140625" style="35" customWidth="1"/>
    <col min="13777" max="14027" width="9.109375" style="35"/>
    <col min="14028" max="14028" width="2.44140625" style="35" customWidth="1"/>
    <col min="14029" max="14029" width="5.5546875" style="35" bestFit="1" customWidth="1"/>
    <col min="14030" max="14030" width="21.5546875" style="35" customWidth="1"/>
    <col min="14031" max="14031" width="16.5546875" style="35" customWidth="1"/>
    <col min="14032" max="14032" width="18.44140625" style="35" customWidth="1"/>
    <col min="14033" max="14283" width="9.109375" style="35"/>
    <col min="14284" max="14284" width="2.44140625" style="35" customWidth="1"/>
    <col min="14285" max="14285" width="5.5546875" style="35" bestFit="1" customWidth="1"/>
    <col min="14286" max="14286" width="21.5546875" style="35" customWidth="1"/>
    <col min="14287" max="14287" width="16.5546875" style="35" customWidth="1"/>
    <col min="14288" max="14288" width="18.44140625" style="35" customWidth="1"/>
    <col min="14289" max="14539" width="9.109375" style="35"/>
    <col min="14540" max="14540" width="2.44140625" style="35" customWidth="1"/>
    <col min="14541" max="14541" width="5.5546875" style="35" bestFit="1" customWidth="1"/>
    <col min="14542" max="14542" width="21.5546875" style="35" customWidth="1"/>
    <col min="14543" max="14543" width="16.5546875" style="35" customWidth="1"/>
    <col min="14544" max="14544" width="18.44140625" style="35" customWidth="1"/>
    <col min="14545" max="14795" width="9.109375" style="35"/>
    <col min="14796" max="14796" width="2.44140625" style="35" customWidth="1"/>
    <col min="14797" max="14797" width="5.5546875" style="35" bestFit="1" customWidth="1"/>
    <col min="14798" max="14798" width="21.5546875" style="35" customWidth="1"/>
    <col min="14799" max="14799" width="16.5546875" style="35" customWidth="1"/>
    <col min="14800" max="14800" width="18.44140625" style="35" customWidth="1"/>
    <col min="14801" max="15051" width="9.109375" style="35"/>
    <col min="15052" max="15052" width="2.44140625" style="35" customWidth="1"/>
    <col min="15053" max="15053" width="5.5546875" style="35" bestFit="1" customWidth="1"/>
    <col min="15054" max="15054" width="21.5546875" style="35" customWidth="1"/>
    <col min="15055" max="15055" width="16.5546875" style="35" customWidth="1"/>
    <col min="15056" max="15056" width="18.44140625" style="35" customWidth="1"/>
    <col min="15057" max="15307" width="9.109375" style="35"/>
    <col min="15308" max="15308" width="2.44140625" style="35" customWidth="1"/>
    <col min="15309" max="15309" width="5.5546875" style="35" bestFit="1" customWidth="1"/>
    <col min="15310" max="15310" width="21.5546875" style="35" customWidth="1"/>
    <col min="15311" max="15311" width="16.5546875" style="35" customWidth="1"/>
    <col min="15312" max="15312" width="18.44140625" style="35" customWidth="1"/>
    <col min="15313" max="15563" width="9.109375" style="35"/>
    <col min="15564" max="15564" width="2.44140625" style="35" customWidth="1"/>
    <col min="15565" max="15565" width="5.5546875" style="35" bestFit="1" customWidth="1"/>
    <col min="15566" max="15566" width="21.5546875" style="35" customWidth="1"/>
    <col min="15567" max="15567" width="16.5546875" style="35" customWidth="1"/>
    <col min="15568" max="15568" width="18.44140625" style="35" customWidth="1"/>
    <col min="15569" max="15819" width="9.109375" style="35"/>
    <col min="15820" max="15820" width="2.44140625" style="35" customWidth="1"/>
    <col min="15821" max="15821" width="5.5546875" style="35" bestFit="1" customWidth="1"/>
    <col min="15822" max="15822" width="21.5546875" style="35" customWidth="1"/>
    <col min="15823" max="15823" width="16.5546875" style="35" customWidth="1"/>
    <col min="15824" max="15824" width="18.44140625" style="35" customWidth="1"/>
    <col min="15825" max="16075" width="9.109375" style="35"/>
    <col min="16076" max="16076" width="2.44140625" style="35" customWidth="1"/>
    <col min="16077" max="16077" width="5.5546875" style="35" bestFit="1" customWidth="1"/>
    <col min="16078" max="16078" width="21.5546875" style="35" customWidth="1"/>
    <col min="16079" max="16079" width="16.5546875" style="35" customWidth="1"/>
    <col min="16080" max="16080" width="18.44140625" style="35" customWidth="1"/>
    <col min="16081" max="16384" width="9.109375" style="35"/>
  </cols>
  <sheetData>
    <row r="1" spans="2:9" ht="12.75" customHeight="1" x14ac:dyDescent="0.25">
      <c r="E1" s="40"/>
      <c r="F1" s="40"/>
      <c r="G1" s="40"/>
      <c r="H1" s="40"/>
    </row>
    <row r="2" spans="2:9" ht="25.5" customHeight="1" x14ac:dyDescent="0.35">
      <c r="B2" s="58" t="s">
        <v>39</v>
      </c>
      <c r="C2" s="58"/>
      <c r="D2" s="4"/>
      <c r="E2" s="5" t="s">
        <v>2</v>
      </c>
      <c r="F2" s="6">
        <v>2294358</v>
      </c>
      <c r="G2" s="7">
        <v>44423</v>
      </c>
      <c r="H2" s="8">
        <f>F2+G2</f>
        <v>2338781</v>
      </c>
    </row>
    <row r="3" spans="2:9" ht="25.5" customHeight="1" x14ac:dyDescent="0.4">
      <c r="B3" s="58"/>
      <c r="C3" s="58"/>
      <c r="D3" s="9" t="s">
        <v>3</v>
      </c>
      <c r="E3" s="10" t="s">
        <v>4</v>
      </c>
      <c r="F3" s="11">
        <f>(3350000-H2)*0.75</f>
        <v>758414.25</v>
      </c>
      <c r="G3" s="10" t="s">
        <v>5</v>
      </c>
      <c r="H3" s="12">
        <f>(3350000-H2)*0.25</f>
        <v>252804.75</v>
      </c>
    </row>
    <row r="4" spans="2:9" ht="25.5" customHeight="1" x14ac:dyDescent="0.4">
      <c r="B4" s="59"/>
      <c r="C4" s="59"/>
      <c r="D4" s="13" t="s">
        <v>24</v>
      </c>
      <c r="E4" s="14" t="s">
        <v>4</v>
      </c>
      <c r="F4" s="15">
        <f>(3500000-H2)*0.75</f>
        <v>870914.25</v>
      </c>
      <c r="G4" s="14" t="s">
        <v>5</v>
      </c>
      <c r="H4" s="16">
        <f>(3500000-H2)*0.25</f>
        <v>290304.75</v>
      </c>
    </row>
    <row r="5" spans="2:9" ht="28.8" x14ac:dyDescent="0.35">
      <c r="B5" s="52" t="s">
        <v>6</v>
      </c>
      <c r="C5" s="53" t="s">
        <v>7</v>
      </c>
      <c r="D5" s="48" t="s">
        <v>0</v>
      </c>
      <c r="E5" s="54" t="s">
        <v>1</v>
      </c>
      <c r="F5" s="55" t="s">
        <v>8</v>
      </c>
      <c r="G5" s="56" t="s">
        <v>9</v>
      </c>
      <c r="H5" s="56" t="s">
        <v>10</v>
      </c>
    </row>
    <row r="6" spans="2:9" ht="0.75" customHeight="1" x14ac:dyDescent="0.35">
      <c r="B6" s="19"/>
      <c r="C6" s="20"/>
      <c r="D6" s="17"/>
      <c r="E6" s="21"/>
      <c r="F6" s="22"/>
      <c r="G6" s="18"/>
      <c r="H6" s="18"/>
    </row>
    <row r="7" spans="2:9" s="3" customFormat="1" ht="31.8" x14ac:dyDescent="0.35">
      <c r="B7" s="42" t="str">
        <f>VLOOKUP(1,operationsM,4,FALSE)</f>
        <v>FY22: Maintenance and Coordination of Fisheries Dependent Data Feeds to ACCSP from the State of Rhode Island</v>
      </c>
      <c r="C7" s="42" t="str">
        <f>VLOOKUP(1,operationsM,5,FALSE)</f>
        <v>RI DEM</v>
      </c>
      <c r="D7" s="44">
        <f>VLOOKUP(1,operationsM,6,FALSE)</f>
        <v>52.973684210526315</v>
      </c>
      <c r="E7" s="25">
        <f>VLOOKUP(1,operationsM,9,FALSE)</f>
        <v>27521</v>
      </c>
      <c r="F7" s="26">
        <f t="shared" ref="F7:F14" si="0">F6+E7</f>
        <v>27521</v>
      </c>
      <c r="G7" s="27">
        <f t="shared" ref="G7:G14" si="1">$F$4-F7</f>
        <v>843393.25</v>
      </c>
      <c r="H7" s="27">
        <f t="shared" ref="H7:H14" si="2">$F$3-F7</f>
        <v>730893.25</v>
      </c>
      <c r="I7" s="28"/>
    </row>
    <row r="8" spans="2:9" s="3" customFormat="1" ht="21" x14ac:dyDescent="0.35">
      <c r="B8" s="42" t="str">
        <f>VLOOKUP(2,operationsM,4,FALSE)</f>
        <v>FY22: Managing Mandatory Dealer Reporting in Maine</v>
      </c>
      <c r="C8" s="42" t="str">
        <f>VLOOKUP(2,operationsM,5,FALSE)</f>
        <v>ME DMR</v>
      </c>
      <c r="D8" s="44">
        <f>VLOOKUP(2,operationsM,6,FALSE)</f>
        <v>52.236842105263158</v>
      </c>
      <c r="E8" s="25">
        <f>VLOOKUP(2,operationsM,9,FALSE)</f>
        <v>61304</v>
      </c>
      <c r="F8" s="26">
        <f t="shared" si="0"/>
        <v>88825</v>
      </c>
      <c r="G8" s="27">
        <f t="shared" si="1"/>
        <v>782089.25</v>
      </c>
      <c r="H8" s="27">
        <f t="shared" si="2"/>
        <v>669589.25</v>
      </c>
    </row>
    <row r="9" spans="2:9" s="3" customFormat="1" ht="31.8" x14ac:dyDescent="0.35">
      <c r="B9" s="42" t="str">
        <f>VLOOKUP(3,operationsM,4,FALSE)</f>
        <v>FY22: SAFIS Expansion of Customizable Fisheries Citizen Science Data Collection Application</v>
      </c>
      <c r="C9" s="42" t="str">
        <f>VLOOKUP(3,operationsM,5,FALSE)</f>
        <v>SAFMC/NCDMF</v>
      </c>
      <c r="D9" s="44">
        <f>VLOOKUP(3,operationsM,6,FALSE)</f>
        <v>51.815789473684212</v>
      </c>
      <c r="E9" s="25">
        <f>VLOOKUP(3,operationsM,9,FALSE)</f>
        <v>116182</v>
      </c>
      <c r="F9" s="26">
        <f t="shared" si="0"/>
        <v>205007</v>
      </c>
      <c r="G9" s="27">
        <f t="shared" si="1"/>
        <v>665907.25</v>
      </c>
      <c r="H9" s="27">
        <f t="shared" si="2"/>
        <v>553407.25</v>
      </c>
    </row>
    <row r="10" spans="2:9" ht="21" x14ac:dyDescent="0.35">
      <c r="B10" s="42" t="str">
        <f>VLOOKUP(4,operationsM,4,FALSE)</f>
        <v>FY22: Managing 100% Lobster Harvester Reporting in Maine</v>
      </c>
      <c r="C10" s="42" t="str">
        <f>VLOOKUP(4,operationsM,5,FALSE)</f>
        <v>ME DMR</v>
      </c>
      <c r="D10" s="44">
        <f>VLOOKUP(4,operationsM,6,FALSE)</f>
        <v>51.05263157894737</v>
      </c>
      <c r="E10" s="25">
        <f>VLOOKUP(4,operationsM,9,FALSE)</f>
        <v>335662</v>
      </c>
      <c r="F10" s="26">
        <f t="shared" si="0"/>
        <v>540669</v>
      </c>
      <c r="G10" s="27">
        <f t="shared" si="1"/>
        <v>330245.25</v>
      </c>
      <c r="H10" s="27">
        <f t="shared" si="2"/>
        <v>217745.25</v>
      </c>
    </row>
    <row r="11" spans="2:9" ht="63" x14ac:dyDescent="0.35">
      <c r="B11" s="42" t="str">
        <f>VLOOKUP(5,operationsM,4,FALSE)</f>
        <v>Advancing Fishery Dependent Data Collection for Black Sea Bass (Cetropristis striata) in the Southern New England and Mid-Atlantic Region Utilizing Modern Technology and a Vessel Research Fleet Approach</v>
      </c>
      <c r="C11" s="42" t="str">
        <f>VLOOKUP(5,operationsM,5,FALSE)</f>
        <v>RI DEM</v>
      </c>
      <c r="D11" s="44">
        <f>VLOOKUP(5,operationsM,6,FALSE)</f>
        <v>50.44736842105263</v>
      </c>
      <c r="E11" s="25">
        <f>VLOOKUP(5,operationsM,9,FALSE)</f>
        <v>132005</v>
      </c>
      <c r="F11" s="26">
        <f t="shared" si="0"/>
        <v>672674</v>
      </c>
      <c r="G11" s="27">
        <f t="shared" si="1"/>
        <v>198240.25</v>
      </c>
      <c r="H11" s="27">
        <f t="shared" si="2"/>
        <v>85740.25</v>
      </c>
    </row>
    <row r="12" spans="2:9" ht="47.4" x14ac:dyDescent="0.35">
      <c r="B12" s="42" t="str">
        <f>VLOOKUP(6,operationsM,4,FALSE)</f>
        <v>Portside Commercial Catch Sampling and Comparative Bycatch Sampling for Atlantic Herring, Atlantic Mackerel and Atlantic Menhaden fisheries</v>
      </c>
      <c r="C12" s="42" t="str">
        <f>VLOOKUP(6,operationsM,5,FALSE)</f>
        <v>ME DMR</v>
      </c>
      <c r="D12" s="44">
        <f>VLOOKUP(6,operationsM,6,FALSE)</f>
        <v>48.631578947368418</v>
      </c>
      <c r="E12" s="25">
        <f>VLOOKUP(6,operationsM,9,FALSE)</f>
        <v>26254</v>
      </c>
      <c r="F12" s="26">
        <f t="shared" si="0"/>
        <v>698928</v>
      </c>
      <c r="G12" s="27">
        <f t="shared" si="1"/>
        <v>171986.25</v>
      </c>
      <c r="H12" s="27">
        <f t="shared" si="2"/>
        <v>59486.25</v>
      </c>
    </row>
    <row r="13" spans="2:9" ht="31.8" x14ac:dyDescent="0.35">
      <c r="B13" s="42" t="str">
        <f>VLOOKUP(7,operationsM,4,FALSE)</f>
        <v>Electronic Trip-Level Reporting for the Potomac River Fisheries Commission Commercial Fisheries Sector</v>
      </c>
      <c r="C13" s="42" t="str">
        <f>VLOOKUP(7,operationsM,5,FALSE)</f>
        <v>PRFC</v>
      </c>
      <c r="D13" s="44">
        <f>VLOOKUP(7,operationsM,6,FALSE)</f>
        <v>41.368421052631582</v>
      </c>
      <c r="E13" s="25">
        <f>VLOOKUP(7,operationsM,9,FALSE)</f>
        <v>215612</v>
      </c>
      <c r="F13" s="26">
        <f t="shared" si="0"/>
        <v>914540</v>
      </c>
      <c r="G13" s="27">
        <f t="shared" si="1"/>
        <v>-43625.75</v>
      </c>
      <c r="H13" s="27">
        <f t="shared" si="2"/>
        <v>-156125.75</v>
      </c>
    </row>
    <row r="14" spans="2:9" ht="31.8" x14ac:dyDescent="0.35">
      <c r="B14" s="42" t="str">
        <f>VLOOKUP(8,operationsM,4,FALSE)</f>
        <v>Continued development of a mobile application to assist Maritime Law Enforcement Personnel with fisheries enforcement tasks</v>
      </c>
      <c r="C14" s="42" t="str">
        <f>VLOOKUP(8,operationsM,5,FALSE)</f>
        <v>RIDEM/GADNR USCG</v>
      </c>
      <c r="D14" s="44">
        <f>VLOOKUP(8,operationsM,6,FALSE)</f>
        <v>32.131578947368418</v>
      </c>
      <c r="E14" s="25">
        <f>VLOOKUP(8,operationsM,9,FALSE)</f>
        <v>50000</v>
      </c>
      <c r="F14" s="26">
        <f t="shared" si="0"/>
        <v>964540</v>
      </c>
      <c r="G14" s="27">
        <f t="shared" si="1"/>
        <v>-93625.75</v>
      </c>
      <c r="H14" s="27">
        <f t="shared" si="2"/>
        <v>-206125.75</v>
      </c>
    </row>
    <row r="15" spans="2:9" ht="12" customHeight="1" x14ac:dyDescent="0.4">
      <c r="B15" s="36"/>
      <c r="C15" s="29"/>
      <c r="D15" s="37"/>
      <c r="E15" s="31"/>
      <c r="F15" s="31"/>
      <c r="G15" s="31"/>
      <c r="H15" s="31"/>
    </row>
    <row r="16" spans="2:9" ht="21.75" customHeight="1" x14ac:dyDescent="0.4">
      <c r="B16" s="36"/>
      <c r="C16" s="29"/>
      <c r="D16" s="30"/>
      <c r="E16" s="60" t="s">
        <v>19</v>
      </c>
      <c r="F16" s="60"/>
      <c r="G16" s="60"/>
      <c r="H16" s="60"/>
    </row>
    <row r="17" spans="2:8" ht="31.8" x14ac:dyDescent="0.35">
      <c r="B17" s="42" t="str">
        <f>VLOOKUP(1,operationsN,4,FALSE)</f>
        <v>North Carolina fishery-dependent biological data transmissions to the Atlantic Coastal Cooperative Statistics Program Data Warehouse</v>
      </c>
      <c r="C17" s="42" t="str">
        <f>VLOOKUP(1,operationsN,5,FALSE)</f>
        <v>NCDMF</v>
      </c>
      <c r="D17" s="44">
        <f>VLOOKUP(1,operationsN,6,FALSE)</f>
        <v>56.631578947368418</v>
      </c>
      <c r="E17" s="25">
        <f>VLOOKUP(1,operationsN,9,FALSE)</f>
        <v>79887</v>
      </c>
      <c r="F17" s="26">
        <f>F16+E17</f>
        <v>79887</v>
      </c>
      <c r="G17" s="27">
        <f>IF($G$14&gt;0,$H$4+$G$14,$H$4)-F17</f>
        <v>210417.75</v>
      </c>
      <c r="H17" s="27">
        <f>IF($H$14&gt;0,$H$3+$H$14,$H$3)-F17</f>
        <v>172917.75</v>
      </c>
    </row>
    <row r="18" spans="2:8" ht="31.8" x14ac:dyDescent="0.35">
      <c r="B18" s="42" t="str">
        <f>VLOOKUP(2,operationsN,4,FALSE)</f>
        <v>Implementation of Electronic Quota Monitoring Reporting in North Carolina</v>
      </c>
      <c r="C18" s="42" t="str">
        <f>VLOOKUP(2,operationsN,5,FALSE)</f>
        <v>NCDMF</v>
      </c>
      <c r="D18" s="44">
        <f>VLOOKUP(2,operationsN,6,FALSE)</f>
        <v>52.55263157894737</v>
      </c>
      <c r="E18" s="25">
        <f>VLOOKUP(2,operationsN,9,FALSE)</f>
        <v>63854</v>
      </c>
      <c r="F18" s="26">
        <f t="shared" ref="F18:F20" si="3">F17+E18</f>
        <v>143741</v>
      </c>
      <c r="G18" s="27">
        <f t="shared" ref="G18:G20" si="4">IF($G$14&gt;0,$H$4+$G$14,$H$4)-F18</f>
        <v>146563.75</v>
      </c>
      <c r="H18" s="27">
        <f t="shared" ref="H18:H20" si="5">IF($H$14&gt;0,$H$3+$H$14,$H$3)-F18</f>
        <v>109063.75</v>
      </c>
    </row>
    <row r="19" spans="2:8" ht="47.4" x14ac:dyDescent="0.35">
      <c r="B19" s="42" t="str">
        <f>VLOOKUP(3,operationsN,4,FALSE)</f>
        <v>Integration of vessel monitoring systems and electronic reporting in SAFIS and SAFIS applications through API development and field testing of multiple hardware options: Phase 2</v>
      </c>
      <c r="C19" s="42" t="str">
        <f>VLOOKUP(3,operationsN,5,FALSE)</f>
        <v>MADMF/RIDMF</v>
      </c>
      <c r="D19" s="44">
        <f>VLOOKUP(3,operationsN,6,FALSE)</f>
        <v>48.868421052631582</v>
      </c>
      <c r="E19" s="25">
        <f>VLOOKUP(3,operationsN,9,FALSE)</f>
        <v>86244</v>
      </c>
      <c r="F19" s="26">
        <f t="shared" si="3"/>
        <v>229985</v>
      </c>
      <c r="G19" s="27">
        <f t="shared" si="4"/>
        <v>60319.75</v>
      </c>
      <c r="H19" s="27">
        <f t="shared" si="5"/>
        <v>22819.75</v>
      </c>
    </row>
    <row r="20" spans="2:8" ht="31.8" x14ac:dyDescent="0.35">
      <c r="B20" s="42" t="str">
        <f>VLOOKUP(4,operationsN,4,FALSE)</f>
        <v>FY22: DNA and Bycatch Characterization of New Jersey’s American Shad Fishery in Delaware Bay</v>
      </c>
      <c r="C20" s="42" t="str">
        <f>VLOOKUP(4,operationsN,5,FALSE)</f>
        <v>NJDFW</v>
      </c>
      <c r="D20" s="44">
        <f>VLOOKUP(4,operationsN,6,FALSE)</f>
        <v>44.157894736842103</v>
      </c>
      <c r="E20" s="25">
        <f>VLOOKUP(4,operationsN,9,FALSE)</f>
        <v>88886</v>
      </c>
      <c r="F20" s="26">
        <f t="shared" si="3"/>
        <v>318871</v>
      </c>
      <c r="G20" s="27">
        <f t="shared" si="4"/>
        <v>-28566.25</v>
      </c>
      <c r="H20" s="27">
        <f t="shared" si="5"/>
        <v>-66066.25</v>
      </c>
    </row>
    <row r="21" spans="2:8" x14ac:dyDescent="0.3">
      <c r="G21" s="1"/>
      <c r="H21" s="1"/>
    </row>
    <row r="22" spans="2:8" x14ac:dyDescent="0.3">
      <c r="G22" s="1"/>
      <c r="H22" s="1"/>
    </row>
  </sheetData>
  <mergeCells count="2">
    <mergeCell ref="B2:C4"/>
    <mergeCell ref="E16:H16"/>
  </mergeCells>
  <conditionalFormatting sqref="G7:H14">
    <cfRule type="cellIs" dxfId="5" priority="7" operator="lessThan">
      <formula>0</formula>
    </cfRule>
  </conditionalFormatting>
  <conditionalFormatting sqref="G17:H20">
    <cfRule type="cellIs" dxfId="4" priority="6" operator="lessThan">
      <formula>0</formula>
    </cfRule>
  </conditionalFormatting>
  <pageMargins left="0.7" right="0.7" top="0.75" bottom="0.75" header="0.3" footer="0.3"/>
  <pageSetup scale="75" fitToHeight="0" orientation="landscape" horizontalDpi="4294967293" verticalDpi="300" r:id="rId1"/>
  <drawing r:id="rId2"/>
  <picture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B1:I22"/>
  <sheetViews>
    <sheetView showGridLines="0" zoomScaleNormal="100" workbookViewId="0">
      <pane ySplit="5" topLeftCell="A15" activePane="bottomLeft" state="frozen"/>
      <selection activeCell="F25" sqref="F25"/>
      <selection pane="bottomLeft" activeCell="A21" sqref="A21:XFD22"/>
    </sheetView>
  </sheetViews>
  <sheetFormatPr defaultRowHeight="14.4" x14ac:dyDescent="0.3"/>
  <cols>
    <col min="1" max="1" width="4.44140625" style="35" customWidth="1"/>
    <col min="2" max="2" width="65.88671875" style="35" customWidth="1"/>
    <col min="3" max="3" width="11.44140625" style="35" customWidth="1"/>
    <col min="4" max="4" width="13.33203125" style="35" customWidth="1"/>
    <col min="5" max="5" width="17.88671875" style="35" bestFit="1" customWidth="1"/>
    <col min="6" max="6" width="18" style="34" customWidth="1"/>
    <col min="7" max="7" width="18.109375" style="34" customWidth="1"/>
    <col min="8" max="8" width="17.5546875" style="34" customWidth="1"/>
    <col min="9" max="203" width="9.109375" style="35"/>
    <col min="204" max="204" width="2.44140625" style="35" customWidth="1"/>
    <col min="205" max="205" width="5.5546875" style="35" bestFit="1" customWidth="1"/>
    <col min="206" max="206" width="21.5546875" style="35" customWidth="1"/>
    <col min="207" max="207" width="16.5546875" style="35" customWidth="1"/>
    <col min="208" max="208" width="18.44140625" style="35" customWidth="1"/>
    <col min="209" max="459" width="9.109375" style="35"/>
    <col min="460" max="460" width="2.44140625" style="35" customWidth="1"/>
    <col min="461" max="461" width="5.5546875" style="35" bestFit="1" customWidth="1"/>
    <col min="462" max="462" width="21.5546875" style="35" customWidth="1"/>
    <col min="463" max="463" width="16.5546875" style="35" customWidth="1"/>
    <col min="464" max="464" width="18.44140625" style="35" customWidth="1"/>
    <col min="465" max="715" width="9.109375" style="35"/>
    <col min="716" max="716" width="2.44140625" style="35" customWidth="1"/>
    <col min="717" max="717" width="5.5546875" style="35" bestFit="1" customWidth="1"/>
    <col min="718" max="718" width="21.5546875" style="35" customWidth="1"/>
    <col min="719" max="719" width="16.5546875" style="35" customWidth="1"/>
    <col min="720" max="720" width="18.44140625" style="35" customWidth="1"/>
    <col min="721" max="971" width="9.109375" style="35"/>
    <col min="972" max="972" width="2.44140625" style="35" customWidth="1"/>
    <col min="973" max="973" width="5.5546875" style="35" bestFit="1" customWidth="1"/>
    <col min="974" max="974" width="21.5546875" style="35" customWidth="1"/>
    <col min="975" max="975" width="16.5546875" style="35" customWidth="1"/>
    <col min="976" max="976" width="18.44140625" style="35" customWidth="1"/>
    <col min="977" max="1227" width="9.109375" style="35"/>
    <col min="1228" max="1228" width="2.44140625" style="35" customWidth="1"/>
    <col min="1229" max="1229" width="5.5546875" style="35" bestFit="1" customWidth="1"/>
    <col min="1230" max="1230" width="21.5546875" style="35" customWidth="1"/>
    <col min="1231" max="1231" width="16.5546875" style="35" customWidth="1"/>
    <col min="1232" max="1232" width="18.44140625" style="35" customWidth="1"/>
    <col min="1233" max="1483" width="9.109375" style="35"/>
    <col min="1484" max="1484" width="2.44140625" style="35" customWidth="1"/>
    <col min="1485" max="1485" width="5.5546875" style="35" bestFit="1" customWidth="1"/>
    <col min="1486" max="1486" width="21.5546875" style="35" customWidth="1"/>
    <col min="1487" max="1487" width="16.5546875" style="35" customWidth="1"/>
    <col min="1488" max="1488" width="18.44140625" style="35" customWidth="1"/>
    <col min="1489" max="1739" width="9.109375" style="35"/>
    <col min="1740" max="1740" width="2.44140625" style="35" customWidth="1"/>
    <col min="1741" max="1741" width="5.5546875" style="35" bestFit="1" customWidth="1"/>
    <col min="1742" max="1742" width="21.5546875" style="35" customWidth="1"/>
    <col min="1743" max="1743" width="16.5546875" style="35" customWidth="1"/>
    <col min="1744" max="1744" width="18.44140625" style="35" customWidth="1"/>
    <col min="1745" max="1995" width="9.109375" style="35"/>
    <col min="1996" max="1996" width="2.44140625" style="35" customWidth="1"/>
    <col min="1997" max="1997" width="5.5546875" style="35" bestFit="1" customWidth="1"/>
    <col min="1998" max="1998" width="21.5546875" style="35" customWidth="1"/>
    <col min="1999" max="1999" width="16.5546875" style="35" customWidth="1"/>
    <col min="2000" max="2000" width="18.44140625" style="35" customWidth="1"/>
    <col min="2001" max="2251" width="9.109375" style="35"/>
    <col min="2252" max="2252" width="2.44140625" style="35" customWidth="1"/>
    <col min="2253" max="2253" width="5.5546875" style="35" bestFit="1" customWidth="1"/>
    <col min="2254" max="2254" width="21.5546875" style="35" customWidth="1"/>
    <col min="2255" max="2255" width="16.5546875" style="35" customWidth="1"/>
    <col min="2256" max="2256" width="18.44140625" style="35" customWidth="1"/>
    <col min="2257" max="2507" width="9.109375" style="35"/>
    <col min="2508" max="2508" width="2.44140625" style="35" customWidth="1"/>
    <col min="2509" max="2509" width="5.5546875" style="35" bestFit="1" customWidth="1"/>
    <col min="2510" max="2510" width="21.5546875" style="35" customWidth="1"/>
    <col min="2511" max="2511" width="16.5546875" style="35" customWidth="1"/>
    <col min="2512" max="2512" width="18.44140625" style="35" customWidth="1"/>
    <col min="2513" max="2763" width="9.109375" style="35"/>
    <col min="2764" max="2764" width="2.44140625" style="35" customWidth="1"/>
    <col min="2765" max="2765" width="5.5546875" style="35" bestFit="1" customWidth="1"/>
    <col min="2766" max="2766" width="21.5546875" style="35" customWidth="1"/>
    <col min="2767" max="2767" width="16.5546875" style="35" customWidth="1"/>
    <col min="2768" max="2768" width="18.44140625" style="35" customWidth="1"/>
    <col min="2769" max="3019" width="9.109375" style="35"/>
    <col min="3020" max="3020" width="2.44140625" style="35" customWidth="1"/>
    <col min="3021" max="3021" width="5.5546875" style="35" bestFit="1" customWidth="1"/>
    <col min="3022" max="3022" width="21.5546875" style="35" customWidth="1"/>
    <col min="3023" max="3023" width="16.5546875" style="35" customWidth="1"/>
    <col min="3024" max="3024" width="18.44140625" style="35" customWidth="1"/>
    <col min="3025" max="3275" width="9.109375" style="35"/>
    <col min="3276" max="3276" width="2.44140625" style="35" customWidth="1"/>
    <col min="3277" max="3277" width="5.5546875" style="35" bestFit="1" customWidth="1"/>
    <col min="3278" max="3278" width="21.5546875" style="35" customWidth="1"/>
    <col min="3279" max="3279" width="16.5546875" style="35" customWidth="1"/>
    <col min="3280" max="3280" width="18.44140625" style="35" customWidth="1"/>
    <col min="3281" max="3531" width="9.109375" style="35"/>
    <col min="3532" max="3532" width="2.44140625" style="35" customWidth="1"/>
    <col min="3533" max="3533" width="5.5546875" style="35" bestFit="1" customWidth="1"/>
    <col min="3534" max="3534" width="21.5546875" style="35" customWidth="1"/>
    <col min="3535" max="3535" width="16.5546875" style="35" customWidth="1"/>
    <col min="3536" max="3536" width="18.44140625" style="35" customWidth="1"/>
    <col min="3537" max="3787" width="9.109375" style="35"/>
    <col min="3788" max="3788" width="2.44140625" style="35" customWidth="1"/>
    <col min="3789" max="3789" width="5.5546875" style="35" bestFit="1" customWidth="1"/>
    <col min="3790" max="3790" width="21.5546875" style="35" customWidth="1"/>
    <col min="3791" max="3791" width="16.5546875" style="35" customWidth="1"/>
    <col min="3792" max="3792" width="18.44140625" style="35" customWidth="1"/>
    <col min="3793" max="4043" width="9.109375" style="35"/>
    <col min="4044" max="4044" width="2.44140625" style="35" customWidth="1"/>
    <col min="4045" max="4045" width="5.5546875" style="35" bestFit="1" customWidth="1"/>
    <col min="4046" max="4046" width="21.5546875" style="35" customWidth="1"/>
    <col min="4047" max="4047" width="16.5546875" style="35" customWidth="1"/>
    <col min="4048" max="4048" width="18.44140625" style="35" customWidth="1"/>
    <col min="4049" max="4299" width="9.109375" style="35"/>
    <col min="4300" max="4300" width="2.44140625" style="35" customWidth="1"/>
    <col min="4301" max="4301" width="5.5546875" style="35" bestFit="1" customWidth="1"/>
    <col min="4302" max="4302" width="21.5546875" style="35" customWidth="1"/>
    <col min="4303" max="4303" width="16.5546875" style="35" customWidth="1"/>
    <col min="4304" max="4304" width="18.44140625" style="35" customWidth="1"/>
    <col min="4305" max="4555" width="9.109375" style="35"/>
    <col min="4556" max="4556" width="2.44140625" style="35" customWidth="1"/>
    <col min="4557" max="4557" width="5.5546875" style="35" bestFit="1" customWidth="1"/>
    <col min="4558" max="4558" width="21.5546875" style="35" customWidth="1"/>
    <col min="4559" max="4559" width="16.5546875" style="35" customWidth="1"/>
    <col min="4560" max="4560" width="18.44140625" style="35" customWidth="1"/>
    <col min="4561" max="4811" width="9.109375" style="35"/>
    <col min="4812" max="4812" width="2.44140625" style="35" customWidth="1"/>
    <col min="4813" max="4813" width="5.5546875" style="35" bestFit="1" customWidth="1"/>
    <col min="4814" max="4814" width="21.5546875" style="35" customWidth="1"/>
    <col min="4815" max="4815" width="16.5546875" style="35" customWidth="1"/>
    <col min="4816" max="4816" width="18.44140625" style="35" customWidth="1"/>
    <col min="4817" max="5067" width="9.109375" style="35"/>
    <col min="5068" max="5068" width="2.44140625" style="35" customWidth="1"/>
    <col min="5069" max="5069" width="5.5546875" style="35" bestFit="1" customWidth="1"/>
    <col min="5070" max="5070" width="21.5546875" style="35" customWidth="1"/>
    <col min="5071" max="5071" width="16.5546875" style="35" customWidth="1"/>
    <col min="5072" max="5072" width="18.44140625" style="35" customWidth="1"/>
    <col min="5073" max="5323" width="9.109375" style="35"/>
    <col min="5324" max="5324" width="2.44140625" style="35" customWidth="1"/>
    <col min="5325" max="5325" width="5.5546875" style="35" bestFit="1" customWidth="1"/>
    <col min="5326" max="5326" width="21.5546875" style="35" customWidth="1"/>
    <col min="5327" max="5327" width="16.5546875" style="35" customWidth="1"/>
    <col min="5328" max="5328" width="18.44140625" style="35" customWidth="1"/>
    <col min="5329" max="5579" width="9.109375" style="35"/>
    <col min="5580" max="5580" width="2.44140625" style="35" customWidth="1"/>
    <col min="5581" max="5581" width="5.5546875" style="35" bestFit="1" customWidth="1"/>
    <col min="5582" max="5582" width="21.5546875" style="35" customWidth="1"/>
    <col min="5583" max="5583" width="16.5546875" style="35" customWidth="1"/>
    <col min="5584" max="5584" width="18.44140625" style="35" customWidth="1"/>
    <col min="5585" max="5835" width="9.109375" style="35"/>
    <col min="5836" max="5836" width="2.44140625" style="35" customWidth="1"/>
    <col min="5837" max="5837" width="5.5546875" style="35" bestFit="1" customWidth="1"/>
    <col min="5838" max="5838" width="21.5546875" style="35" customWidth="1"/>
    <col min="5839" max="5839" width="16.5546875" style="35" customWidth="1"/>
    <col min="5840" max="5840" width="18.44140625" style="35" customWidth="1"/>
    <col min="5841" max="6091" width="9.109375" style="35"/>
    <col min="6092" max="6092" width="2.44140625" style="35" customWidth="1"/>
    <col min="6093" max="6093" width="5.5546875" style="35" bestFit="1" customWidth="1"/>
    <col min="6094" max="6094" width="21.5546875" style="35" customWidth="1"/>
    <col min="6095" max="6095" width="16.5546875" style="35" customWidth="1"/>
    <col min="6096" max="6096" width="18.44140625" style="35" customWidth="1"/>
    <col min="6097" max="6347" width="9.109375" style="35"/>
    <col min="6348" max="6348" width="2.44140625" style="35" customWidth="1"/>
    <col min="6349" max="6349" width="5.5546875" style="35" bestFit="1" customWidth="1"/>
    <col min="6350" max="6350" width="21.5546875" style="35" customWidth="1"/>
    <col min="6351" max="6351" width="16.5546875" style="35" customWidth="1"/>
    <col min="6352" max="6352" width="18.44140625" style="35" customWidth="1"/>
    <col min="6353" max="6603" width="9.109375" style="35"/>
    <col min="6604" max="6604" width="2.44140625" style="35" customWidth="1"/>
    <col min="6605" max="6605" width="5.5546875" style="35" bestFit="1" customWidth="1"/>
    <col min="6606" max="6606" width="21.5546875" style="35" customWidth="1"/>
    <col min="6607" max="6607" width="16.5546875" style="35" customWidth="1"/>
    <col min="6608" max="6608" width="18.44140625" style="35" customWidth="1"/>
    <col min="6609" max="6859" width="9.109375" style="35"/>
    <col min="6860" max="6860" width="2.44140625" style="35" customWidth="1"/>
    <col min="6861" max="6861" width="5.5546875" style="35" bestFit="1" customWidth="1"/>
    <col min="6862" max="6862" width="21.5546875" style="35" customWidth="1"/>
    <col min="6863" max="6863" width="16.5546875" style="35" customWidth="1"/>
    <col min="6864" max="6864" width="18.44140625" style="35" customWidth="1"/>
    <col min="6865" max="7115" width="9.109375" style="35"/>
    <col min="7116" max="7116" width="2.44140625" style="35" customWidth="1"/>
    <col min="7117" max="7117" width="5.5546875" style="35" bestFit="1" customWidth="1"/>
    <col min="7118" max="7118" width="21.5546875" style="35" customWidth="1"/>
    <col min="7119" max="7119" width="16.5546875" style="35" customWidth="1"/>
    <col min="7120" max="7120" width="18.44140625" style="35" customWidth="1"/>
    <col min="7121" max="7371" width="9.109375" style="35"/>
    <col min="7372" max="7372" width="2.44140625" style="35" customWidth="1"/>
    <col min="7373" max="7373" width="5.5546875" style="35" bestFit="1" customWidth="1"/>
    <col min="7374" max="7374" width="21.5546875" style="35" customWidth="1"/>
    <col min="7375" max="7375" width="16.5546875" style="35" customWidth="1"/>
    <col min="7376" max="7376" width="18.44140625" style="35" customWidth="1"/>
    <col min="7377" max="7627" width="9.109375" style="35"/>
    <col min="7628" max="7628" width="2.44140625" style="35" customWidth="1"/>
    <col min="7629" max="7629" width="5.5546875" style="35" bestFit="1" customWidth="1"/>
    <col min="7630" max="7630" width="21.5546875" style="35" customWidth="1"/>
    <col min="7631" max="7631" width="16.5546875" style="35" customWidth="1"/>
    <col min="7632" max="7632" width="18.44140625" style="35" customWidth="1"/>
    <col min="7633" max="7883" width="9.109375" style="35"/>
    <col min="7884" max="7884" width="2.44140625" style="35" customWidth="1"/>
    <col min="7885" max="7885" width="5.5546875" style="35" bestFit="1" customWidth="1"/>
    <col min="7886" max="7886" width="21.5546875" style="35" customWidth="1"/>
    <col min="7887" max="7887" width="16.5546875" style="35" customWidth="1"/>
    <col min="7888" max="7888" width="18.44140625" style="35" customWidth="1"/>
    <col min="7889" max="8139" width="9.109375" style="35"/>
    <col min="8140" max="8140" width="2.44140625" style="35" customWidth="1"/>
    <col min="8141" max="8141" width="5.5546875" style="35" bestFit="1" customWidth="1"/>
    <col min="8142" max="8142" width="21.5546875" style="35" customWidth="1"/>
    <col min="8143" max="8143" width="16.5546875" style="35" customWidth="1"/>
    <col min="8144" max="8144" width="18.44140625" style="35" customWidth="1"/>
    <col min="8145" max="8395" width="9.109375" style="35"/>
    <col min="8396" max="8396" width="2.44140625" style="35" customWidth="1"/>
    <col min="8397" max="8397" width="5.5546875" style="35" bestFit="1" customWidth="1"/>
    <col min="8398" max="8398" width="21.5546875" style="35" customWidth="1"/>
    <col min="8399" max="8399" width="16.5546875" style="35" customWidth="1"/>
    <col min="8400" max="8400" width="18.44140625" style="35" customWidth="1"/>
    <col min="8401" max="8651" width="9.109375" style="35"/>
    <col min="8652" max="8652" width="2.44140625" style="35" customWidth="1"/>
    <col min="8653" max="8653" width="5.5546875" style="35" bestFit="1" customWidth="1"/>
    <col min="8654" max="8654" width="21.5546875" style="35" customWidth="1"/>
    <col min="8655" max="8655" width="16.5546875" style="35" customWidth="1"/>
    <col min="8656" max="8656" width="18.44140625" style="35" customWidth="1"/>
    <col min="8657" max="8907" width="9.109375" style="35"/>
    <col min="8908" max="8908" width="2.44140625" style="35" customWidth="1"/>
    <col min="8909" max="8909" width="5.5546875" style="35" bestFit="1" customWidth="1"/>
    <col min="8910" max="8910" width="21.5546875" style="35" customWidth="1"/>
    <col min="8911" max="8911" width="16.5546875" style="35" customWidth="1"/>
    <col min="8912" max="8912" width="18.44140625" style="35" customWidth="1"/>
    <col min="8913" max="9163" width="9.109375" style="35"/>
    <col min="9164" max="9164" width="2.44140625" style="35" customWidth="1"/>
    <col min="9165" max="9165" width="5.5546875" style="35" bestFit="1" customWidth="1"/>
    <col min="9166" max="9166" width="21.5546875" style="35" customWidth="1"/>
    <col min="9167" max="9167" width="16.5546875" style="35" customWidth="1"/>
    <col min="9168" max="9168" width="18.44140625" style="35" customWidth="1"/>
    <col min="9169" max="9419" width="9.109375" style="35"/>
    <col min="9420" max="9420" width="2.44140625" style="35" customWidth="1"/>
    <col min="9421" max="9421" width="5.5546875" style="35" bestFit="1" customWidth="1"/>
    <col min="9422" max="9422" width="21.5546875" style="35" customWidth="1"/>
    <col min="9423" max="9423" width="16.5546875" style="35" customWidth="1"/>
    <col min="9424" max="9424" width="18.44140625" style="35" customWidth="1"/>
    <col min="9425" max="9675" width="9.109375" style="35"/>
    <col min="9676" max="9676" width="2.44140625" style="35" customWidth="1"/>
    <col min="9677" max="9677" width="5.5546875" style="35" bestFit="1" customWidth="1"/>
    <col min="9678" max="9678" width="21.5546875" style="35" customWidth="1"/>
    <col min="9679" max="9679" width="16.5546875" style="35" customWidth="1"/>
    <col min="9680" max="9680" width="18.44140625" style="35" customWidth="1"/>
    <col min="9681" max="9931" width="9.109375" style="35"/>
    <col min="9932" max="9932" width="2.44140625" style="35" customWidth="1"/>
    <col min="9933" max="9933" width="5.5546875" style="35" bestFit="1" customWidth="1"/>
    <col min="9934" max="9934" width="21.5546875" style="35" customWidth="1"/>
    <col min="9935" max="9935" width="16.5546875" style="35" customWidth="1"/>
    <col min="9936" max="9936" width="18.44140625" style="35" customWidth="1"/>
    <col min="9937" max="10187" width="9.109375" style="35"/>
    <col min="10188" max="10188" width="2.44140625" style="35" customWidth="1"/>
    <col min="10189" max="10189" width="5.5546875" style="35" bestFit="1" customWidth="1"/>
    <col min="10190" max="10190" width="21.5546875" style="35" customWidth="1"/>
    <col min="10191" max="10191" width="16.5546875" style="35" customWidth="1"/>
    <col min="10192" max="10192" width="18.44140625" style="35" customWidth="1"/>
    <col min="10193" max="10443" width="9.109375" style="35"/>
    <col min="10444" max="10444" width="2.44140625" style="35" customWidth="1"/>
    <col min="10445" max="10445" width="5.5546875" style="35" bestFit="1" customWidth="1"/>
    <col min="10446" max="10446" width="21.5546875" style="35" customWidth="1"/>
    <col min="10447" max="10447" width="16.5546875" style="35" customWidth="1"/>
    <col min="10448" max="10448" width="18.44140625" style="35" customWidth="1"/>
    <col min="10449" max="10699" width="9.109375" style="35"/>
    <col min="10700" max="10700" width="2.44140625" style="35" customWidth="1"/>
    <col min="10701" max="10701" width="5.5546875" style="35" bestFit="1" customWidth="1"/>
    <col min="10702" max="10702" width="21.5546875" style="35" customWidth="1"/>
    <col min="10703" max="10703" width="16.5546875" style="35" customWidth="1"/>
    <col min="10704" max="10704" width="18.44140625" style="35" customWidth="1"/>
    <col min="10705" max="10955" width="9.109375" style="35"/>
    <col min="10956" max="10956" width="2.44140625" style="35" customWidth="1"/>
    <col min="10957" max="10957" width="5.5546875" style="35" bestFit="1" customWidth="1"/>
    <col min="10958" max="10958" width="21.5546875" style="35" customWidth="1"/>
    <col min="10959" max="10959" width="16.5546875" style="35" customWidth="1"/>
    <col min="10960" max="10960" width="18.44140625" style="35" customWidth="1"/>
    <col min="10961" max="11211" width="9.109375" style="35"/>
    <col min="11212" max="11212" width="2.44140625" style="35" customWidth="1"/>
    <col min="11213" max="11213" width="5.5546875" style="35" bestFit="1" customWidth="1"/>
    <col min="11214" max="11214" width="21.5546875" style="35" customWidth="1"/>
    <col min="11215" max="11215" width="16.5546875" style="35" customWidth="1"/>
    <col min="11216" max="11216" width="18.44140625" style="35" customWidth="1"/>
    <col min="11217" max="11467" width="9.109375" style="35"/>
    <col min="11468" max="11468" width="2.44140625" style="35" customWidth="1"/>
    <col min="11469" max="11469" width="5.5546875" style="35" bestFit="1" customWidth="1"/>
    <col min="11470" max="11470" width="21.5546875" style="35" customWidth="1"/>
    <col min="11471" max="11471" width="16.5546875" style="35" customWidth="1"/>
    <col min="11472" max="11472" width="18.44140625" style="35" customWidth="1"/>
    <col min="11473" max="11723" width="9.109375" style="35"/>
    <col min="11724" max="11724" width="2.44140625" style="35" customWidth="1"/>
    <col min="11725" max="11725" width="5.5546875" style="35" bestFit="1" customWidth="1"/>
    <col min="11726" max="11726" width="21.5546875" style="35" customWidth="1"/>
    <col min="11727" max="11727" width="16.5546875" style="35" customWidth="1"/>
    <col min="11728" max="11728" width="18.44140625" style="35" customWidth="1"/>
    <col min="11729" max="11979" width="9.109375" style="35"/>
    <col min="11980" max="11980" width="2.44140625" style="35" customWidth="1"/>
    <col min="11981" max="11981" width="5.5546875" style="35" bestFit="1" customWidth="1"/>
    <col min="11982" max="11982" width="21.5546875" style="35" customWidth="1"/>
    <col min="11983" max="11983" width="16.5546875" style="35" customWidth="1"/>
    <col min="11984" max="11984" width="18.44140625" style="35" customWidth="1"/>
    <col min="11985" max="12235" width="9.109375" style="35"/>
    <col min="12236" max="12236" width="2.44140625" style="35" customWidth="1"/>
    <col min="12237" max="12237" width="5.5546875" style="35" bestFit="1" customWidth="1"/>
    <col min="12238" max="12238" width="21.5546875" style="35" customWidth="1"/>
    <col min="12239" max="12239" width="16.5546875" style="35" customWidth="1"/>
    <col min="12240" max="12240" width="18.44140625" style="35" customWidth="1"/>
    <col min="12241" max="12491" width="9.109375" style="35"/>
    <col min="12492" max="12492" width="2.44140625" style="35" customWidth="1"/>
    <col min="12493" max="12493" width="5.5546875" style="35" bestFit="1" customWidth="1"/>
    <col min="12494" max="12494" width="21.5546875" style="35" customWidth="1"/>
    <col min="12495" max="12495" width="16.5546875" style="35" customWidth="1"/>
    <col min="12496" max="12496" width="18.44140625" style="35" customWidth="1"/>
    <col min="12497" max="12747" width="9.109375" style="35"/>
    <col min="12748" max="12748" width="2.44140625" style="35" customWidth="1"/>
    <col min="12749" max="12749" width="5.5546875" style="35" bestFit="1" customWidth="1"/>
    <col min="12750" max="12750" width="21.5546875" style="35" customWidth="1"/>
    <col min="12751" max="12751" width="16.5546875" style="35" customWidth="1"/>
    <col min="12752" max="12752" width="18.44140625" style="35" customWidth="1"/>
    <col min="12753" max="13003" width="9.109375" style="35"/>
    <col min="13004" max="13004" width="2.44140625" style="35" customWidth="1"/>
    <col min="13005" max="13005" width="5.5546875" style="35" bestFit="1" customWidth="1"/>
    <col min="13006" max="13006" width="21.5546875" style="35" customWidth="1"/>
    <col min="13007" max="13007" width="16.5546875" style="35" customWidth="1"/>
    <col min="13008" max="13008" width="18.44140625" style="35" customWidth="1"/>
    <col min="13009" max="13259" width="9.109375" style="35"/>
    <col min="13260" max="13260" width="2.44140625" style="35" customWidth="1"/>
    <col min="13261" max="13261" width="5.5546875" style="35" bestFit="1" customWidth="1"/>
    <col min="13262" max="13262" width="21.5546875" style="35" customWidth="1"/>
    <col min="13263" max="13263" width="16.5546875" style="35" customWidth="1"/>
    <col min="13264" max="13264" width="18.44140625" style="35" customWidth="1"/>
    <col min="13265" max="13515" width="9.109375" style="35"/>
    <col min="13516" max="13516" width="2.44140625" style="35" customWidth="1"/>
    <col min="13517" max="13517" width="5.5546875" style="35" bestFit="1" customWidth="1"/>
    <col min="13518" max="13518" width="21.5546875" style="35" customWidth="1"/>
    <col min="13519" max="13519" width="16.5546875" style="35" customWidth="1"/>
    <col min="13520" max="13520" width="18.44140625" style="35" customWidth="1"/>
    <col min="13521" max="13771" width="9.109375" style="35"/>
    <col min="13772" max="13772" width="2.44140625" style="35" customWidth="1"/>
    <col min="13773" max="13773" width="5.5546875" style="35" bestFit="1" customWidth="1"/>
    <col min="13774" max="13774" width="21.5546875" style="35" customWidth="1"/>
    <col min="13775" max="13775" width="16.5546875" style="35" customWidth="1"/>
    <col min="13776" max="13776" width="18.44140625" style="35" customWidth="1"/>
    <col min="13777" max="14027" width="9.109375" style="35"/>
    <col min="14028" max="14028" width="2.44140625" style="35" customWidth="1"/>
    <col min="14029" max="14029" width="5.5546875" style="35" bestFit="1" customWidth="1"/>
    <col min="14030" max="14030" width="21.5546875" style="35" customWidth="1"/>
    <col min="14031" max="14031" width="16.5546875" style="35" customWidth="1"/>
    <col min="14032" max="14032" width="18.44140625" style="35" customWidth="1"/>
    <col min="14033" max="14283" width="9.109375" style="35"/>
    <col min="14284" max="14284" width="2.44140625" style="35" customWidth="1"/>
    <col min="14285" max="14285" width="5.5546875" style="35" bestFit="1" customWidth="1"/>
    <col min="14286" max="14286" width="21.5546875" style="35" customWidth="1"/>
    <col min="14287" max="14287" width="16.5546875" style="35" customWidth="1"/>
    <col min="14288" max="14288" width="18.44140625" style="35" customWidth="1"/>
    <col min="14289" max="14539" width="9.109375" style="35"/>
    <col min="14540" max="14540" width="2.44140625" style="35" customWidth="1"/>
    <col min="14541" max="14541" width="5.5546875" style="35" bestFit="1" customWidth="1"/>
    <col min="14542" max="14542" width="21.5546875" style="35" customWidth="1"/>
    <col min="14543" max="14543" width="16.5546875" style="35" customWidth="1"/>
    <col min="14544" max="14544" width="18.44140625" style="35" customWidth="1"/>
    <col min="14545" max="14795" width="9.109375" style="35"/>
    <col min="14796" max="14796" width="2.44140625" style="35" customWidth="1"/>
    <col min="14797" max="14797" width="5.5546875" style="35" bestFit="1" customWidth="1"/>
    <col min="14798" max="14798" width="21.5546875" style="35" customWidth="1"/>
    <col min="14799" max="14799" width="16.5546875" style="35" customWidth="1"/>
    <col min="14800" max="14800" width="18.44140625" style="35" customWidth="1"/>
    <col min="14801" max="15051" width="9.109375" style="35"/>
    <col min="15052" max="15052" width="2.44140625" style="35" customWidth="1"/>
    <col min="15053" max="15053" width="5.5546875" style="35" bestFit="1" customWidth="1"/>
    <col min="15054" max="15054" width="21.5546875" style="35" customWidth="1"/>
    <col min="15055" max="15055" width="16.5546875" style="35" customWidth="1"/>
    <col min="15056" max="15056" width="18.44140625" style="35" customWidth="1"/>
    <col min="15057" max="15307" width="9.109375" style="35"/>
    <col min="15308" max="15308" width="2.44140625" style="35" customWidth="1"/>
    <col min="15309" max="15309" width="5.5546875" style="35" bestFit="1" customWidth="1"/>
    <col min="15310" max="15310" width="21.5546875" style="35" customWidth="1"/>
    <col min="15311" max="15311" width="16.5546875" style="35" customWidth="1"/>
    <col min="15312" max="15312" width="18.44140625" style="35" customWidth="1"/>
    <col min="15313" max="15563" width="9.109375" style="35"/>
    <col min="15564" max="15564" width="2.44140625" style="35" customWidth="1"/>
    <col min="15565" max="15565" width="5.5546875" style="35" bestFit="1" customWidth="1"/>
    <col min="15566" max="15566" width="21.5546875" style="35" customWidth="1"/>
    <col min="15567" max="15567" width="16.5546875" style="35" customWidth="1"/>
    <col min="15568" max="15568" width="18.44140625" style="35" customWidth="1"/>
    <col min="15569" max="15819" width="9.109375" style="35"/>
    <col min="15820" max="15820" width="2.44140625" style="35" customWidth="1"/>
    <col min="15821" max="15821" width="5.5546875" style="35" bestFit="1" customWidth="1"/>
    <col min="15822" max="15822" width="21.5546875" style="35" customWidth="1"/>
    <col min="15823" max="15823" width="16.5546875" style="35" customWidth="1"/>
    <col min="15824" max="15824" width="18.44140625" style="35" customWidth="1"/>
    <col min="15825" max="16075" width="9.109375" style="35"/>
    <col min="16076" max="16076" width="2.44140625" style="35" customWidth="1"/>
    <col min="16077" max="16077" width="5.5546875" style="35" bestFit="1" customWidth="1"/>
    <col min="16078" max="16078" width="21.5546875" style="35" customWidth="1"/>
    <col min="16079" max="16079" width="16.5546875" style="35" customWidth="1"/>
    <col min="16080" max="16080" width="18.44140625" style="35" customWidth="1"/>
    <col min="16081" max="16384" width="9.109375" style="35"/>
  </cols>
  <sheetData>
    <row r="1" spans="2:9" ht="12.75" customHeight="1" x14ac:dyDescent="0.25">
      <c r="E1" s="40"/>
      <c r="F1" s="40"/>
      <c r="G1" s="40"/>
      <c r="H1" s="40"/>
    </row>
    <row r="2" spans="2:9" ht="25.5" customHeight="1" x14ac:dyDescent="0.35">
      <c r="B2" s="58" t="s">
        <v>38</v>
      </c>
      <c r="C2" s="58"/>
      <c r="D2" s="4"/>
      <c r="E2" s="5" t="s">
        <v>2</v>
      </c>
      <c r="F2" s="6">
        <v>2294358</v>
      </c>
      <c r="G2" s="7">
        <v>44423</v>
      </c>
      <c r="H2" s="8">
        <f>F2+G2</f>
        <v>2338781</v>
      </c>
    </row>
    <row r="3" spans="2:9" ht="25.5" customHeight="1" x14ac:dyDescent="0.4">
      <c r="B3" s="58"/>
      <c r="C3" s="58"/>
      <c r="D3" s="9" t="s">
        <v>3</v>
      </c>
      <c r="E3" s="10" t="s">
        <v>4</v>
      </c>
      <c r="F3" s="11">
        <f>(3350000-H2)*0.75</f>
        <v>758414.25</v>
      </c>
      <c r="G3" s="10" t="s">
        <v>5</v>
      </c>
      <c r="H3" s="12">
        <f>(3350000-H2)*0.25</f>
        <v>252804.75</v>
      </c>
    </row>
    <row r="4" spans="2:9" ht="25.5" customHeight="1" x14ac:dyDescent="0.4">
      <c r="B4" s="59"/>
      <c r="C4" s="59"/>
      <c r="D4" s="13" t="s">
        <v>24</v>
      </c>
      <c r="E4" s="14" t="s">
        <v>4</v>
      </c>
      <c r="F4" s="15">
        <f>(3500000-H2)*0.75</f>
        <v>870914.25</v>
      </c>
      <c r="G4" s="14" t="s">
        <v>5</v>
      </c>
      <c r="H4" s="16">
        <f>(3500000-H2)*0.25</f>
        <v>290304.75</v>
      </c>
    </row>
    <row r="5" spans="2:9" ht="28.8" x14ac:dyDescent="0.35">
      <c r="B5" s="52" t="s">
        <v>6</v>
      </c>
      <c r="C5" s="53" t="s">
        <v>7</v>
      </c>
      <c r="D5" s="48" t="s">
        <v>0</v>
      </c>
      <c r="E5" s="54" t="s">
        <v>1</v>
      </c>
      <c r="F5" s="55" t="s">
        <v>8</v>
      </c>
      <c r="G5" s="56" t="s">
        <v>9</v>
      </c>
      <c r="H5" s="56" t="s">
        <v>10</v>
      </c>
    </row>
    <row r="6" spans="2:9" ht="0.75" customHeight="1" x14ac:dyDescent="0.35">
      <c r="B6" s="19"/>
      <c r="C6" s="20"/>
      <c r="D6" s="17"/>
      <c r="E6" s="21"/>
      <c r="F6" s="22"/>
      <c r="G6" s="18"/>
      <c r="H6" s="18"/>
    </row>
    <row r="7" spans="2:9" s="3" customFormat="1" ht="31.8" x14ac:dyDescent="0.35">
      <c r="B7" s="42" t="str">
        <f>VLOOKUP(1,advisorsM,3,FALSE)</f>
        <v>FY22: Maintenance and Coordination of Fisheries Dependent Data Feeds to ACCSP from the State of Rhode Island</v>
      </c>
      <c r="C7" s="42" t="str">
        <f>VLOOKUP(1,advisorsM,4,FALSE)</f>
        <v>RI DEM</v>
      </c>
      <c r="D7" s="43">
        <f>VLOOKUP(1,advisorsM,6,FALSE)</f>
        <v>53</v>
      </c>
      <c r="E7" s="25">
        <f>VLOOKUP(1,advisorsM,8,FALSE)</f>
        <v>27521</v>
      </c>
      <c r="F7" s="26">
        <f t="shared" ref="F7:F14" si="0">F6+E7</f>
        <v>27521</v>
      </c>
      <c r="G7" s="27">
        <f t="shared" ref="G7:G14" si="1">$F$4-F7</f>
        <v>843393.25</v>
      </c>
      <c r="H7" s="27">
        <f t="shared" ref="H7:H14" si="2">$F$3-F7</f>
        <v>730893.25</v>
      </c>
      <c r="I7" s="28"/>
    </row>
    <row r="8" spans="2:9" s="3" customFormat="1" ht="63" x14ac:dyDescent="0.35">
      <c r="B8" s="42" t="str">
        <f>VLOOKUP(2,advisorsM,3,FALSE)</f>
        <v>Advancing Fishery Dependent Data Collection for Black Sea Bass (Cetropristis striata) in the Southern New England and Mid-Atlantic Region Utilizing Modern Technology and a Vessel Research Fleet Approach</v>
      </c>
      <c r="C8" s="42" t="str">
        <f>VLOOKUP(2,advisorsM,4,FALSE)</f>
        <v>RI DEM</v>
      </c>
      <c r="D8" s="43">
        <f>VLOOKUP(2,advisorsM,6,FALSE)</f>
        <v>48</v>
      </c>
      <c r="E8" s="25">
        <f>VLOOKUP(2,advisorsM,8,FALSE)</f>
        <v>132005</v>
      </c>
      <c r="F8" s="26">
        <f t="shared" si="0"/>
        <v>159526</v>
      </c>
      <c r="G8" s="27">
        <f t="shared" si="1"/>
        <v>711388.25</v>
      </c>
      <c r="H8" s="27">
        <f t="shared" si="2"/>
        <v>598888.25</v>
      </c>
    </row>
    <row r="9" spans="2:9" s="3" customFormat="1" ht="31.8" x14ac:dyDescent="0.35">
      <c r="B9" s="42" t="str">
        <f>VLOOKUP(3,advisorsM,3,FALSE)</f>
        <v>FY22: SAFIS Expansion of Customizable Fisheries Citizen Science Data Collection Application</v>
      </c>
      <c r="C9" s="42" t="str">
        <f>VLOOKUP(3,advisorsM,4,FALSE)</f>
        <v>SAFMC/NCDMF</v>
      </c>
      <c r="D9" s="43">
        <f>VLOOKUP(3,advisorsM,6,FALSE)</f>
        <v>47.333333333333336</v>
      </c>
      <c r="E9" s="25">
        <f>VLOOKUP(3,advisorsM,8,FALSE)</f>
        <v>116182</v>
      </c>
      <c r="F9" s="26">
        <f t="shared" si="0"/>
        <v>275708</v>
      </c>
      <c r="G9" s="27">
        <f t="shared" si="1"/>
        <v>595206.25</v>
      </c>
      <c r="H9" s="27">
        <f t="shared" si="2"/>
        <v>482706.25</v>
      </c>
    </row>
    <row r="10" spans="2:9" ht="21" x14ac:dyDescent="0.35">
      <c r="B10" s="42" t="str">
        <f>VLOOKUP(4,advisorsM,3,FALSE)</f>
        <v>FY22: Managing Mandatory Dealer Reporting in Maine</v>
      </c>
      <c r="C10" s="42" t="str">
        <f>VLOOKUP(4,advisorsM,4,FALSE)</f>
        <v>ME DMR</v>
      </c>
      <c r="D10" s="43">
        <f>VLOOKUP(4,advisorsM,6,FALSE)</f>
        <v>46</v>
      </c>
      <c r="E10" s="25">
        <f>VLOOKUP(4,advisorsM,8,FALSE)</f>
        <v>61304</v>
      </c>
      <c r="F10" s="26">
        <f t="shared" si="0"/>
        <v>337012</v>
      </c>
      <c r="G10" s="27">
        <f t="shared" si="1"/>
        <v>533902.25</v>
      </c>
      <c r="H10" s="27">
        <f t="shared" si="2"/>
        <v>421402.25</v>
      </c>
    </row>
    <row r="11" spans="2:9" ht="21" x14ac:dyDescent="0.35">
      <c r="B11" s="42" t="str">
        <f>VLOOKUP(5,advisorsM,3,FALSE)</f>
        <v>FY22: Managing 100% Lobster Harvester Reporting in Maine</v>
      </c>
      <c r="C11" s="42" t="str">
        <f>VLOOKUP(5,advisorsM,4,FALSE)</f>
        <v>ME DMR</v>
      </c>
      <c r="D11" s="43">
        <f>VLOOKUP(5,advisorsM,6,FALSE)</f>
        <v>45</v>
      </c>
      <c r="E11" s="25">
        <f>VLOOKUP(5,advisorsM,8,FALSE)</f>
        <v>335662</v>
      </c>
      <c r="F11" s="26">
        <f t="shared" si="0"/>
        <v>672674</v>
      </c>
      <c r="G11" s="27">
        <f t="shared" si="1"/>
        <v>198240.25</v>
      </c>
      <c r="H11" s="27">
        <f t="shared" si="2"/>
        <v>85740.25</v>
      </c>
    </row>
    <row r="12" spans="2:9" ht="31.8" x14ac:dyDescent="0.35">
      <c r="B12" s="42" t="str">
        <f>VLOOKUP(6,advisorsM,3,FALSE)</f>
        <v>Continued development of a mobile application to assist Maritime Law Enforcement Personnel with fisheries enforcement tasks</v>
      </c>
      <c r="C12" s="42" t="str">
        <f>VLOOKUP(6,advisorsM,4,FALSE)</f>
        <v>RIDEM/GADNR USCG</v>
      </c>
      <c r="D12" s="43">
        <f>VLOOKUP(6,advisorsM,6,FALSE)</f>
        <v>44.333333333333336</v>
      </c>
      <c r="E12" s="25">
        <f>VLOOKUP(6,advisorsM,8,FALSE)</f>
        <v>50000</v>
      </c>
      <c r="F12" s="26">
        <f t="shared" si="0"/>
        <v>722674</v>
      </c>
      <c r="G12" s="27">
        <f t="shared" si="1"/>
        <v>148240.25</v>
      </c>
      <c r="H12" s="27">
        <f t="shared" si="2"/>
        <v>35740.25</v>
      </c>
    </row>
    <row r="13" spans="2:9" ht="47.4" x14ac:dyDescent="0.35">
      <c r="B13" s="42" t="str">
        <f>VLOOKUP(7,advisorsM,3,FALSE)</f>
        <v>Portside Commercial Catch Sampling and Comparative Bycatch Sampling for Atlantic Herring, Atlantic Mackerel and Atlantic Menhaden fisheries</v>
      </c>
      <c r="C13" s="42" t="str">
        <f>VLOOKUP(7,advisorsM,4,FALSE)</f>
        <v>ME DMR</v>
      </c>
      <c r="D13" s="43">
        <f>VLOOKUP(7,advisorsM,6,FALSE)</f>
        <v>40.75</v>
      </c>
      <c r="E13" s="25">
        <f>VLOOKUP(7,advisorsM,8,FALSE)</f>
        <v>26254</v>
      </c>
      <c r="F13" s="26">
        <f t="shared" si="0"/>
        <v>748928</v>
      </c>
      <c r="G13" s="27">
        <f t="shared" si="1"/>
        <v>121986.25</v>
      </c>
      <c r="H13" s="27">
        <f t="shared" si="2"/>
        <v>9486.25</v>
      </c>
    </row>
    <row r="14" spans="2:9" ht="31.8" x14ac:dyDescent="0.35">
      <c r="B14" s="42" t="str">
        <f>VLOOKUP(8,advisorsM,3,FALSE)</f>
        <v>Electronic Trip-Level Reporting for the Potomac River Fisheries Commission Commercial Fisheries Sector</v>
      </c>
      <c r="C14" s="42" t="str">
        <f>VLOOKUP(8,advisorsM,4,FALSE)</f>
        <v>PRFC</v>
      </c>
      <c r="D14" s="43">
        <f>VLOOKUP(8,advisorsM,6,FALSE)</f>
        <v>32.75</v>
      </c>
      <c r="E14" s="25">
        <f>VLOOKUP(8,advisorsM,8,FALSE)</f>
        <v>215612</v>
      </c>
      <c r="F14" s="26">
        <f t="shared" si="0"/>
        <v>964540</v>
      </c>
      <c r="G14" s="27">
        <f t="shared" si="1"/>
        <v>-93625.75</v>
      </c>
      <c r="H14" s="27">
        <f t="shared" si="2"/>
        <v>-206125.75</v>
      </c>
    </row>
    <row r="15" spans="2:9" ht="12" customHeight="1" x14ac:dyDescent="0.4">
      <c r="B15" s="36"/>
      <c r="C15" s="29"/>
      <c r="D15" s="37"/>
      <c r="E15" s="31"/>
      <c r="F15" s="31"/>
      <c r="G15" s="31"/>
      <c r="H15" s="31"/>
    </row>
    <row r="16" spans="2:9" ht="21.75" customHeight="1" x14ac:dyDescent="0.4">
      <c r="B16" s="36"/>
      <c r="C16" s="29"/>
      <c r="D16" s="30"/>
      <c r="E16" s="60" t="s">
        <v>19</v>
      </c>
      <c r="F16" s="60"/>
      <c r="G16" s="60"/>
      <c r="H16" s="60"/>
    </row>
    <row r="17" spans="2:8" ht="31.8" x14ac:dyDescent="0.35">
      <c r="B17" s="42" t="str">
        <f>VLOOKUP(1,advisorsN,3,FALSE)</f>
        <v>North Carolina fishery-dependent biological data transmissions to the Atlantic Coastal Cooperative Statistics Program Data Warehouse</v>
      </c>
      <c r="C17" s="42" t="str">
        <f>VLOOKUP(1,advisorsN,4,FALSE)</f>
        <v>NCDMF</v>
      </c>
      <c r="D17" s="43">
        <f>VLOOKUP(1,advisorsN,6,FALSE)</f>
        <v>51.25</v>
      </c>
      <c r="E17" s="25">
        <f>VLOOKUP(1,advisorsN,8,FALSE)</f>
        <v>79887</v>
      </c>
      <c r="F17" s="26">
        <f>F16+E17</f>
        <v>79887</v>
      </c>
      <c r="G17" s="27">
        <f>IF($G$14&gt;0,$H$4+$G$14,$H$4)-F17</f>
        <v>210417.75</v>
      </c>
      <c r="H17" s="27">
        <f>IF($H$14&gt;0,$H$3+$H$14,$H$3)-F17</f>
        <v>172917.75</v>
      </c>
    </row>
    <row r="18" spans="2:8" ht="31.8" x14ac:dyDescent="0.35">
      <c r="B18" s="42" t="str">
        <f>VLOOKUP(2,advisorsN,3,FALSE)</f>
        <v>Implementation of Electronic Quota Monitoring Reporting in North Carolina</v>
      </c>
      <c r="C18" s="42" t="str">
        <f>VLOOKUP(2,advisorsN,4,FALSE)</f>
        <v>NCDMF</v>
      </c>
      <c r="D18" s="43">
        <f>VLOOKUP(2,advisorsN,6,FALSE)</f>
        <v>48.25</v>
      </c>
      <c r="E18" s="25">
        <f>VLOOKUP(2,advisorsN,8,FALSE)</f>
        <v>63854</v>
      </c>
      <c r="F18" s="26">
        <f t="shared" ref="F18:F20" si="3">F17+E18</f>
        <v>143741</v>
      </c>
      <c r="G18" s="27">
        <f t="shared" ref="G18:G20" si="4">IF($G$14&gt;0,$H$4+$G$14,$H$4)-F18</f>
        <v>146563.75</v>
      </c>
      <c r="H18" s="27">
        <f t="shared" ref="H18:H20" si="5">IF($H$14&gt;0,$H$3+$H$14,$H$3)-F18</f>
        <v>109063.75</v>
      </c>
    </row>
    <row r="19" spans="2:8" ht="47.4" x14ac:dyDescent="0.35">
      <c r="B19" s="42" t="str">
        <f>VLOOKUP(3,advisorsN,3,FALSE)</f>
        <v>Integration of vessel monitoring systems and electronic reporting in SAFIS and SAFIS applications through API development and field testing of multiple hardware options: Phase 2</v>
      </c>
      <c r="C19" s="42" t="str">
        <f>VLOOKUP(3,advisorsN,4,FALSE)</f>
        <v>MADMF/RIDMF</v>
      </c>
      <c r="D19" s="43">
        <f>VLOOKUP(3,advisorsN,6,FALSE)</f>
        <v>45.333333333333336</v>
      </c>
      <c r="E19" s="25">
        <f>VLOOKUP(3,advisorsN,8,FALSE)</f>
        <v>86244</v>
      </c>
      <c r="F19" s="26">
        <f t="shared" si="3"/>
        <v>229985</v>
      </c>
      <c r="G19" s="27">
        <f t="shared" si="4"/>
        <v>60319.75</v>
      </c>
      <c r="H19" s="27">
        <f t="shared" si="5"/>
        <v>22819.75</v>
      </c>
    </row>
    <row r="20" spans="2:8" ht="31.8" x14ac:dyDescent="0.35">
      <c r="B20" s="42" t="str">
        <f>VLOOKUP(4,advisorsN,3,FALSE)</f>
        <v>FY22: DNA and Bycatch Characterization of New Jersey’s American Shad Fishery in Delaware Bay</v>
      </c>
      <c r="C20" s="42" t="str">
        <f>VLOOKUP(4,advisorsN,4,FALSE)</f>
        <v>NJDFW</v>
      </c>
      <c r="D20" s="43">
        <f>VLOOKUP(4,advisorsN,6,FALSE)</f>
        <v>43.75</v>
      </c>
      <c r="E20" s="25">
        <f>VLOOKUP(4,advisorsN,8,FALSE)</f>
        <v>88886</v>
      </c>
      <c r="F20" s="26">
        <f t="shared" si="3"/>
        <v>318871</v>
      </c>
      <c r="G20" s="27">
        <f t="shared" si="4"/>
        <v>-28566.25</v>
      </c>
      <c r="H20" s="27">
        <f t="shared" si="5"/>
        <v>-66066.25</v>
      </c>
    </row>
    <row r="21" spans="2:8" x14ac:dyDescent="0.3">
      <c r="G21" s="41"/>
      <c r="H21" s="41"/>
    </row>
    <row r="22" spans="2:8" x14ac:dyDescent="0.3">
      <c r="G22" s="41"/>
      <c r="H22" s="41"/>
    </row>
  </sheetData>
  <mergeCells count="2">
    <mergeCell ref="B2:C4"/>
    <mergeCell ref="E16:H16"/>
  </mergeCells>
  <conditionalFormatting sqref="G7:H14">
    <cfRule type="cellIs" dxfId="3" priority="2" operator="lessThan">
      <formula>0</formula>
    </cfRule>
  </conditionalFormatting>
  <conditionalFormatting sqref="G17:H20">
    <cfRule type="cellIs" dxfId="2" priority="1" operator="lessThan">
      <formula>0</formula>
    </cfRule>
  </conditionalFormatting>
  <pageMargins left="0.7" right="0.7" top="0.75" bottom="0.75" header="0.3" footer="0.3"/>
  <pageSetup scale="75" fitToHeight="0" orientation="landscape" horizontalDpi="4294967293" verticalDpi="300" r:id="rId1"/>
  <drawing r:id="rId2"/>
  <picture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B1:M20"/>
  <sheetViews>
    <sheetView showGridLines="0" zoomScale="80" zoomScaleNormal="80" workbookViewId="0">
      <pane ySplit="5" topLeftCell="A6" activePane="bottomLeft" state="frozen"/>
      <selection pane="bottomLeft" activeCell="C17" sqref="C17"/>
    </sheetView>
  </sheetViews>
  <sheetFormatPr defaultRowHeight="13.8" x14ac:dyDescent="0.25"/>
  <cols>
    <col min="1" max="1" width="4.44140625" style="2" customWidth="1"/>
    <col min="2" max="2" width="16.33203125" style="2" customWidth="1"/>
    <col min="3" max="4" width="12" style="2" customWidth="1"/>
    <col min="5" max="5" width="42.88671875" style="2" customWidth="1"/>
    <col min="6" max="6" width="13" style="2" customWidth="1"/>
    <col min="7" max="7" width="16.33203125" style="2" customWidth="1"/>
    <col min="8" max="9" width="12" style="2" customWidth="1"/>
    <col min="10" max="10" width="17.88671875" style="2" bestFit="1" customWidth="1"/>
    <col min="11" max="205" width="9.109375" style="2"/>
    <col min="206" max="206" width="2.44140625" style="2" customWidth="1"/>
    <col min="207" max="207" width="5.5546875" style="2" bestFit="1" customWidth="1"/>
    <col min="208" max="208" width="21.5546875" style="2" customWidth="1"/>
    <col min="209" max="209" width="16.5546875" style="2" customWidth="1"/>
    <col min="210" max="210" width="18.44140625" style="2" customWidth="1"/>
    <col min="211" max="461" width="9.109375" style="2"/>
    <col min="462" max="462" width="2.44140625" style="2" customWidth="1"/>
    <col min="463" max="463" width="5.5546875" style="2" bestFit="1" customWidth="1"/>
    <col min="464" max="464" width="21.5546875" style="2" customWidth="1"/>
    <col min="465" max="465" width="16.5546875" style="2" customWidth="1"/>
    <col min="466" max="466" width="18.44140625" style="2" customWidth="1"/>
    <col min="467" max="717" width="9.109375" style="2"/>
    <col min="718" max="718" width="2.44140625" style="2" customWidth="1"/>
    <col min="719" max="719" width="5.5546875" style="2" bestFit="1" customWidth="1"/>
    <col min="720" max="720" width="21.5546875" style="2" customWidth="1"/>
    <col min="721" max="721" width="16.5546875" style="2" customWidth="1"/>
    <col min="722" max="722" width="18.44140625" style="2" customWidth="1"/>
    <col min="723" max="973" width="9.109375" style="2"/>
    <col min="974" max="974" width="2.44140625" style="2" customWidth="1"/>
    <col min="975" max="975" width="5.5546875" style="2" bestFit="1" customWidth="1"/>
    <col min="976" max="976" width="21.5546875" style="2" customWidth="1"/>
    <col min="977" max="977" width="16.5546875" style="2" customWidth="1"/>
    <col min="978" max="978" width="18.44140625" style="2" customWidth="1"/>
    <col min="979" max="1229" width="9.109375" style="2"/>
    <col min="1230" max="1230" width="2.44140625" style="2" customWidth="1"/>
    <col min="1231" max="1231" width="5.5546875" style="2" bestFit="1" customWidth="1"/>
    <col min="1232" max="1232" width="21.5546875" style="2" customWidth="1"/>
    <col min="1233" max="1233" width="16.5546875" style="2" customWidth="1"/>
    <col min="1234" max="1234" width="18.44140625" style="2" customWidth="1"/>
    <col min="1235" max="1485" width="9.109375" style="2"/>
    <col min="1486" max="1486" width="2.44140625" style="2" customWidth="1"/>
    <col min="1487" max="1487" width="5.5546875" style="2" bestFit="1" customWidth="1"/>
    <col min="1488" max="1488" width="21.5546875" style="2" customWidth="1"/>
    <col min="1489" max="1489" width="16.5546875" style="2" customWidth="1"/>
    <col min="1490" max="1490" width="18.44140625" style="2" customWidth="1"/>
    <col min="1491" max="1741" width="9.109375" style="2"/>
    <col min="1742" max="1742" width="2.44140625" style="2" customWidth="1"/>
    <col min="1743" max="1743" width="5.5546875" style="2" bestFit="1" customWidth="1"/>
    <col min="1744" max="1744" width="21.5546875" style="2" customWidth="1"/>
    <col min="1745" max="1745" width="16.5546875" style="2" customWidth="1"/>
    <col min="1746" max="1746" width="18.44140625" style="2" customWidth="1"/>
    <col min="1747" max="1997" width="9.109375" style="2"/>
    <col min="1998" max="1998" width="2.44140625" style="2" customWidth="1"/>
    <col min="1999" max="1999" width="5.5546875" style="2" bestFit="1" customWidth="1"/>
    <col min="2000" max="2000" width="21.5546875" style="2" customWidth="1"/>
    <col min="2001" max="2001" width="16.5546875" style="2" customWidth="1"/>
    <col min="2002" max="2002" width="18.44140625" style="2" customWidth="1"/>
    <col min="2003" max="2253" width="9.109375" style="2"/>
    <col min="2254" max="2254" width="2.44140625" style="2" customWidth="1"/>
    <col min="2255" max="2255" width="5.5546875" style="2" bestFit="1" customWidth="1"/>
    <col min="2256" max="2256" width="21.5546875" style="2" customWidth="1"/>
    <col min="2257" max="2257" width="16.5546875" style="2" customWidth="1"/>
    <col min="2258" max="2258" width="18.44140625" style="2" customWidth="1"/>
    <col min="2259" max="2509" width="9.109375" style="2"/>
    <col min="2510" max="2510" width="2.44140625" style="2" customWidth="1"/>
    <col min="2511" max="2511" width="5.5546875" style="2" bestFit="1" customWidth="1"/>
    <col min="2512" max="2512" width="21.5546875" style="2" customWidth="1"/>
    <col min="2513" max="2513" width="16.5546875" style="2" customWidth="1"/>
    <col min="2514" max="2514" width="18.44140625" style="2" customWidth="1"/>
    <col min="2515" max="2765" width="9.109375" style="2"/>
    <col min="2766" max="2766" width="2.44140625" style="2" customWidth="1"/>
    <col min="2767" max="2767" width="5.5546875" style="2" bestFit="1" customWidth="1"/>
    <col min="2768" max="2768" width="21.5546875" style="2" customWidth="1"/>
    <col min="2769" max="2769" width="16.5546875" style="2" customWidth="1"/>
    <col min="2770" max="2770" width="18.44140625" style="2" customWidth="1"/>
    <col min="2771" max="3021" width="9.109375" style="2"/>
    <col min="3022" max="3022" width="2.44140625" style="2" customWidth="1"/>
    <col min="3023" max="3023" width="5.5546875" style="2" bestFit="1" customWidth="1"/>
    <col min="3024" max="3024" width="21.5546875" style="2" customWidth="1"/>
    <col min="3025" max="3025" width="16.5546875" style="2" customWidth="1"/>
    <col min="3026" max="3026" width="18.44140625" style="2" customWidth="1"/>
    <col min="3027" max="3277" width="9.109375" style="2"/>
    <col min="3278" max="3278" width="2.44140625" style="2" customWidth="1"/>
    <col min="3279" max="3279" width="5.5546875" style="2" bestFit="1" customWidth="1"/>
    <col min="3280" max="3280" width="21.5546875" style="2" customWidth="1"/>
    <col min="3281" max="3281" width="16.5546875" style="2" customWidth="1"/>
    <col min="3282" max="3282" width="18.44140625" style="2" customWidth="1"/>
    <col min="3283" max="3533" width="9.109375" style="2"/>
    <col min="3534" max="3534" width="2.44140625" style="2" customWidth="1"/>
    <col min="3535" max="3535" width="5.5546875" style="2" bestFit="1" customWidth="1"/>
    <col min="3536" max="3536" width="21.5546875" style="2" customWidth="1"/>
    <col min="3537" max="3537" width="16.5546875" style="2" customWidth="1"/>
    <col min="3538" max="3538" width="18.44140625" style="2" customWidth="1"/>
    <col min="3539" max="3789" width="9.109375" style="2"/>
    <col min="3790" max="3790" width="2.44140625" style="2" customWidth="1"/>
    <col min="3791" max="3791" width="5.5546875" style="2" bestFit="1" customWidth="1"/>
    <col min="3792" max="3792" width="21.5546875" style="2" customWidth="1"/>
    <col min="3793" max="3793" width="16.5546875" style="2" customWidth="1"/>
    <col min="3794" max="3794" width="18.44140625" style="2" customWidth="1"/>
    <col min="3795" max="4045" width="9.109375" style="2"/>
    <col min="4046" max="4046" width="2.44140625" style="2" customWidth="1"/>
    <col min="4047" max="4047" width="5.5546875" style="2" bestFit="1" customWidth="1"/>
    <col min="4048" max="4048" width="21.5546875" style="2" customWidth="1"/>
    <col min="4049" max="4049" width="16.5546875" style="2" customWidth="1"/>
    <col min="4050" max="4050" width="18.44140625" style="2" customWidth="1"/>
    <col min="4051" max="4301" width="9.109375" style="2"/>
    <col min="4302" max="4302" width="2.44140625" style="2" customWidth="1"/>
    <col min="4303" max="4303" width="5.5546875" style="2" bestFit="1" customWidth="1"/>
    <col min="4304" max="4304" width="21.5546875" style="2" customWidth="1"/>
    <col min="4305" max="4305" width="16.5546875" style="2" customWidth="1"/>
    <col min="4306" max="4306" width="18.44140625" style="2" customWidth="1"/>
    <col min="4307" max="4557" width="9.109375" style="2"/>
    <col min="4558" max="4558" width="2.44140625" style="2" customWidth="1"/>
    <col min="4559" max="4559" width="5.5546875" style="2" bestFit="1" customWidth="1"/>
    <col min="4560" max="4560" width="21.5546875" style="2" customWidth="1"/>
    <col min="4561" max="4561" width="16.5546875" style="2" customWidth="1"/>
    <col min="4562" max="4562" width="18.44140625" style="2" customWidth="1"/>
    <col min="4563" max="4813" width="9.109375" style="2"/>
    <col min="4814" max="4814" width="2.44140625" style="2" customWidth="1"/>
    <col min="4815" max="4815" width="5.5546875" style="2" bestFit="1" customWidth="1"/>
    <col min="4816" max="4816" width="21.5546875" style="2" customWidth="1"/>
    <col min="4817" max="4817" width="16.5546875" style="2" customWidth="1"/>
    <col min="4818" max="4818" width="18.44140625" style="2" customWidth="1"/>
    <col min="4819" max="5069" width="9.109375" style="2"/>
    <col min="5070" max="5070" width="2.44140625" style="2" customWidth="1"/>
    <col min="5071" max="5071" width="5.5546875" style="2" bestFit="1" customWidth="1"/>
    <col min="5072" max="5072" width="21.5546875" style="2" customWidth="1"/>
    <col min="5073" max="5073" width="16.5546875" style="2" customWidth="1"/>
    <col min="5074" max="5074" width="18.44140625" style="2" customWidth="1"/>
    <col min="5075" max="5325" width="9.109375" style="2"/>
    <col min="5326" max="5326" width="2.44140625" style="2" customWidth="1"/>
    <col min="5327" max="5327" width="5.5546875" style="2" bestFit="1" customWidth="1"/>
    <col min="5328" max="5328" width="21.5546875" style="2" customWidth="1"/>
    <col min="5329" max="5329" width="16.5546875" style="2" customWidth="1"/>
    <col min="5330" max="5330" width="18.44140625" style="2" customWidth="1"/>
    <col min="5331" max="5581" width="9.109375" style="2"/>
    <col min="5582" max="5582" width="2.44140625" style="2" customWidth="1"/>
    <col min="5583" max="5583" width="5.5546875" style="2" bestFit="1" customWidth="1"/>
    <col min="5584" max="5584" width="21.5546875" style="2" customWidth="1"/>
    <col min="5585" max="5585" width="16.5546875" style="2" customWidth="1"/>
    <col min="5586" max="5586" width="18.44140625" style="2" customWidth="1"/>
    <col min="5587" max="5837" width="9.109375" style="2"/>
    <col min="5838" max="5838" width="2.44140625" style="2" customWidth="1"/>
    <col min="5839" max="5839" width="5.5546875" style="2" bestFit="1" customWidth="1"/>
    <col min="5840" max="5840" width="21.5546875" style="2" customWidth="1"/>
    <col min="5841" max="5841" width="16.5546875" style="2" customWidth="1"/>
    <col min="5842" max="5842" width="18.44140625" style="2" customWidth="1"/>
    <col min="5843" max="6093" width="9.109375" style="2"/>
    <col min="6094" max="6094" width="2.44140625" style="2" customWidth="1"/>
    <col min="6095" max="6095" width="5.5546875" style="2" bestFit="1" customWidth="1"/>
    <col min="6096" max="6096" width="21.5546875" style="2" customWidth="1"/>
    <col min="6097" max="6097" width="16.5546875" style="2" customWidth="1"/>
    <col min="6098" max="6098" width="18.44140625" style="2" customWidth="1"/>
    <col min="6099" max="6349" width="9.109375" style="2"/>
    <col min="6350" max="6350" width="2.44140625" style="2" customWidth="1"/>
    <col min="6351" max="6351" width="5.5546875" style="2" bestFit="1" customWidth="1"/>
    <col min="6352" max="6352" width="21.5546875" style="2" customWidth="1"/>
    <col min="6353" max="6353" width="16.5546875" style="2" customWidth="1"/>
    <col min="6354" max="6354" width="18.44140625" style="2" customWidth="1"/>
    <col min="6355" max="6605" width="9.109375" style="2"/>
    <col min="6606" max="6606" width="2.44140625" style="2" customWidth="1"/>
    <col min="6607" max="6607" width="5.5546875" style="2" bestFit="1" customWidth="1"/>
    <col min="6608" max="6608" width="21.5546875" style="2" customWidth="1"/>
    <col min="6609" max="6609" width="16.5546875" style="2" customWidth="1"/>
    <col min="6610" max="6610" width="18.44140625" style="2" customWidth="1"/>
    <col min="6611" max="6861" width="9.109375" style="2"/>
    <col min="6862" max="6862" width="2.44140625" style="2" customWidth="1"/>
    <col min="6863" max="6863" width="5.5546875" style="2" bestFit="1" customWidth="1"/>
    <col min="6864" max="6864" width="21.5546875" style="2" customWidth="1"/>
    <col min="6865" max="6865" width="16.5546875" style="2" customWidth="1"/>
    <col min="6866" max="6866" width="18.44140625" style="2" customWidth="1"/>
    <col min="6867" max="7117" width="9.109375" style="2"/>
    <col min="7118" max="7118" width="2.44140625" style="2" customWidth="1"/>
    <col min="7119" max="7119" width="5.5546875" style="2" bestFit="1" customWidth="1"/>
    <col min="7120" max="7120" width="21.5546875" style="2" customWidth="1"/>
    <col min="7121" max="7121" width="16.5546875" style="2" customWidth="1"/>
    <col min="7122" max="7122" width="18.44140625" style="2" customWidth="1"/>
    <col min="7123" max="7373" width="9.109375" style="2"/>
    <col min="7374" max="7374" width="2.44140625" style="2" customWidth="1"/>
    <col min="7375" max="7375" width="5.5546875" style="2" bestFit="1" customWidth="1"/>
    <col min="7376" max="7376" width="21.5546875" style="2" customWidth="1"/>
    <col min="7377" max="7377" width="16.5546875" style="2" customWidth="1"/>
    <col min="7378" max="7378" width="18.44140625" style="2" customWidth="1"/>
    <col min="7379" max="7629" width="9.109375" style="2"/>
    <col min="7630" max="7630" width="2.44140625" style="2" customWidth="1"/>
    <col min="7631" max="7631" width="5.5546875" style="2" bestFit="1" customWidth="1"/>
    <col min="7632" max="7632" width="21.5546875" style="2" customWidth="1"/>
    <col min="7633" max="7633" width="16.5546875" style="2" customWidth="1"/>
    <col min="7634" max="7634" width="18.44140625" style="2" customWidth="1"/>
    <col min="7635" max="7885" width="9.109375" style="2"/>
    <col min="7886" max="7886" width="2.44140625" style="2" customWidth="1"/>
    <col min="7887" max="7887" width="5.5546875" style="2" bestFit="1" customWidth="1"/>
    <col min="7888" max="7888" width="21.5546875" style="2" customWidth="1"/>
    <col min="7889" max="7889" width="16.5546875" style="2" customWidth="1"/>
    <col min="7890" max="7890" width="18.44140625" style="2" customWidth="1"/>
    <col min="7891" max="8141" width="9.109375" style="2"/>
    <col min="8142" max="8142" width="2.44140625" style="2" customWidth="1"/>
    <col min="8143" max="8143" width="5.5546875" style="2" bestFit="1" customWidth="1"/>
    <col min="8144" max="8144" width="21.5546875" style="2" customWidth="1"/>
    <col min="8145" max="8145" width="16.5546875" style="2" customWidth="1"/>
    <col min="8146" max="8146" width="18.44140625" style="2" customWidth="1"/>
    <col min="8147" max="8397" width="9.109375" style="2"/>
    <col min="8398" max="8398" width="2.44140625" style="2" customWidth="1"/>
    <col min="8399" max="8399" width="5.5546875" style="2" bestFit="1" customWidth="1"/>
    <col min="8400" max="8400" width="21.5546875" style="2" customWidth="1"/>
    <col min="8401" max="8401" width="16.5546875" style="2" customWidth="1"/>
    <col min="8402" max="8402" width="18.44140625" style="2" customWidth="1"/>
    <col min="8403" max="8653" width="9.109375" style="2"/>
    <col min="8654" max="8654" width="2.44140625" style="2" customWidth="1"/>
    <col min="8655" max="8655" width="5.5546875" style="2" bestFit="1" customWidth="1"/>
    <col min="8656" max="8656" width="21.5546875" style="2" customWidth="1"/>
    <col min="8657" max="8657" width="16.5546875" style="2" customWidth="1"/>
    <col min="8658" max="8658" width="18.44140625" style="2" customWidth="1"/>
    <col min="8659" max="8909" width="9.109375" style="2"/>
    <col min="8910" max="8910" width="2.44140625" style="2" customWidth="1"/>
    <col min="8911" max="8911" width="5.5546875" style="2" bestFit="1" customWidth="1"/>
    <col min="8912" max="8912" width="21.5546875" style="2" customWidth="1"/>
    <col min="8913" max="8913" width="16.5546875" style="2" customWidth="1"/>
    <col min="8914" max="8914" width="18.44140625" style="2" customWidth="1"/>
    <col min="8915" max="9165" width="9.109375" style="2"/>
    <col min="9166" max="9166" width="2.44140625" style="2" customWidth="1"/>
    <col min="9167" max="9167" width="5.5546875" style="2" bestFit="1" customWidth="1"/>
    <col min="9168" max="9168" width="21.5546875" style="2" customWidth="1"/>
    <col min="9169" max="9169" width="16.5546875" style="2" customWidth="1"/>
    <col min="9170" max="9170" width="18.44140625" style="2" customWidth="1"/>
    <col min="9171" max="9421" width="9.109375" style="2"/>
    <col min="9422" max="9422" width="2.44140625" style="2" customWidth="1"/>
    <col min="9423" max="9423" width="5.5546875" style="2" bestFit="1" customWidth="1"/>
    <col min="9424" max="9424" width="21.5546875" style="2" customWidth="1"/>
    <col min="9425" max="9425" width="16.5546875" style="2" customWidth="1"/>
    <col min="9426" max="9426" width="18.44140625" style="2" customWidth="1"/>
    <col min="9427" max="9677" width="9.109375" style="2"/>
    <col min="9678" max="9678" width="2.44140625" style="2" customWidth="1"/>
    <col min="9679" max="9679" width="5.5546875" style="2" bestFit="1" customWidth="1"/>
    <col min="9680" max="9680" width="21.5546875" style="2" customWidth="1"/>
    <col min="9681" max="9681" width="16.5546875" style="2" customWidth="1"/>
    <col min="9682" max="9682" width="18.44140625" style="2" customWidth="1"/>
    <col min="9683" max="9933" width="9.109375" style="2"/>
    <col min="9934" max="9934" width="2.44140625" style="2" customWidth="1"/>
    <col min="9935" max="9935" width="5.5546875" style="2" bestFit="1" customWidth="1"/>
    <col min="9936" max="9936" width="21.5546875" style="2" customWidth="1"/>
    <col min="9937" max="9937" width="16.5546875" style="2" customWidth="1"/>
    <col min="9938" max="9938" width="18.44140625" style="2" customWidth="1"/>
    <col min="9939" max="10189" width="9.109375" style="2"/>
    <col min="10190" max="10190" width="2.44140625" style="2" customWidth="1"/>
    <col min="10191" max="10191" width="5.5546875" style="2" bestFit="1" customWidth="1"/>
    <col min="10192" max="10192" width="21.5546875" style="2" customWidth="1"/>
    <col min="10193" max="10193" width="16.5546875" style="2" customWidth="1"/>
    <col min="10194" max="10194" width="18.44140625" style="2" customWidth="1"/>
    <col min="10195" max="10445" width="9.109375" style="2"/>
    <col min="10446" max="10446" width="2.44140625" style="2" customWidth="1"/>
    <col min="10447" max="10447" width="5.5546875" style="2" bestFit="1" customWidth="1"/>
    <col min="10448" max="10448" width="21.5546875" style="2" customWidth="1"/>
    <col min="10449" max="10449" width="16.5546875" style="2" customWidth="1"/>
    <col min="10450" max="10450" width="18.44140625" style="2" customWidth="1"/>
    <col min="10451" max="10701" width="9.109375" style="2"/>
    <col min="10702" max="10702" width="2.44140625" style="2" customWidth="1"/>
    <col min="10703" max="10703" width="5.5546875" style="2" bestFit="1" customWidth="1"/>
    <col min="10704" max="10704" width="21.5546875" style="2" customWidth="1"/>
    <col min="10705" max="10705" width="16.5546875" style="2" customWidth="1"/>
    <col min="10706" max="10706" width="18.44140625" style="2" customWidth="1"/>
    <col min="10707" max="10957" width="9.109375" style="2"/>
    <col min="10958" max="10958" width="2.44140625" style="2" customWidth="1"/>
    <col min="10959" max="10959" width="5.5546875" style="2" bestFit="1" customWidth="1"/>
    <col min="10960" max="10960" width="21.5546875" style="2" customWidth="1"/>
    <col min="10961" max="10961" width="16.5546875" style="2" customWidth="1"/>
    <col min="10962" max="10962" width="18.44140625" style="2" customWidth="1"/>
    <col min="10963" max="11213" width="9.109375" style="2"/>
    <col min="11214" max="11214" width="2.44140625" style="2" customWidth="1"/>
    <col min="11215" max="11215" width="5.5546875" style="2" bestFit="1" customWidth="1"/>
    <col min="11216" max="11216" width="21.5546875" style="2" customWidth="1"/>
    <col min="11217" max="11217" width="16.5546875" style="2" customWidth="1"/>
    <col min="11218" max="11218" width="18.44140625" style="2" customWidth="1"/>
    <col min="11219" max="11469" width="9.109375" style="2"/>
    <col min="11470" max="11470" width="2.44140625" style="2" customWidth="1"/>
    <col min="11471" max="11471" width="5.5546875" style="2" bestFit="1" customWidth="1"/>
    <col min="11472" max="11472" width="21.5546875" style="2" customWidth="1"/>
    <col min="11473" max="11473" width="16.5546875" style="2" customWidth="1"/>
    <col min="11474" max="11474" width="18.44140625" style="2" customWidth="1"/>
    <col min="11475" max="11725" width="9.109375" style="2"/>
    <col min="11726" max="11726" width="2.44140625" style="2" customWidth="1"/>
    <col min="11727" max="11727" width="5.5546875" style="2" bestFit="1" customWidth="1"/>
    <col min="11728" max="11728" width="21.5546875" style="2" customWidth="1"/>
    <col min="11729" max="11729" width="16.5546875" style="2" customWidth="1"/>
    <col min="11730" max="11730" width="18.44140625" style="2" customWidth="1"/>
    <col min="11731" max="11981" width="9.109375" style="2"/>
    <col min="11982" max="11982" width="2.44140625" style="2" customWidth="1"/>
    <col min="11983" max="11983" width="5.5546875" style="2" bestFit="1" customWidth="1"/>
    <col min="11984" max="11984" width="21.5546875" style="2" customWidth="1"/>
    <col min="11985" max="11985" width="16.5546875" style="2" customWidth="1"/>
    <col min="11986" max="11986" width="18.44140625" style="2" customWidth="1"/>
    <col min="11987" max="12237" width="9.109375" style="2"/>
    <col min="12238" max="12238" width="2.44140625" style="2" customWidth="1"/>
    <col min="12239" max="12239" width="5.5546875" style="2" bestFit="1" customWidth="1"/>
    <col min="12240" max="12240" width="21.5546875" style="2" customWidth="1"/>
    <col min="12241" max="12241" width="16.5546875" style="2" customWidth="1"/>
    <col min="12242" max="12242" width="18.44140625" style="2" customWidth="1"/>
    <col min="12243" max="12493" width="9.109375" style="2"/>
    <col min="12494" max="12494" width="2.44140625" style="2" customWidth="1"/>
    <col min="12495" max="12495" width="5.5546875" style="2" bestFit="1" customWidth="1"/>
    <col min="12496" max="12496" width="21.5546875" style="2" customWidth="1"/>
    <col min="12497" max="12497" width="16.5546875" style="2" customWidth="1"/>
    <col min="12498" max="12498" width="18.44140625" style="2" customWidth="1"/>
    <col min="12499" max="12749" width="9.109375" style="2"/>
    <col min="12750" max="12750" width="2.44140625" style="2" customWidth="1"/>
    <col min="12751" max="12751" width="5.5546875" style="2" bestFit="1" customWidth="1"/>
    <col min="12752" max="12752" width="21.5546875" style="2" customWidth="1"/>
    <col min="12753" max="12753" width="16.5546875" style="2" customWidth="1"/>
    <col min="12754" max="12754" width="18.44140625" style="2" customWidth="1"/>
    <col min="12755" max="13005" width="9.109375" style="2"/>
    <col min="13006" max="13006" width="2.44140625" style="2" customWidth="1"/>
    <col min="13007" max="13007" width="5.5546875" style="2" bestFit="1" customWidth="1"/>
    <col min="13008" max="13008" width="21.5546875" style="2" customWidth="1"/>
    <col min="13009" max="13009" width="16.5546875" style="2" customWidth="1"/>
    <col min="13010" max="13010" width="18.44140625" style="2" customWidth="1"/>
    <col min="13011" max="13261" width="9.109375" style="2"/>
    <col min="13262" max="13262" width="2.44140625" style="2" customWidth="1"/>
    <col min="13263" max="13263" width="5.5546875" style="2" bestFit="1" customWidth="1"/>
    <col min="13264" max="13264" width="21.5546875" style="2" customWidth="1"/>
    <col min="13265" max="13265" width="16.5546875" style="2" customWidth="1"/>
    <col min="13266" max="13266" width="18.44140625" style="2" customWidth="1"/>
    <col min="13267" max="13517" width="9.109375" style="2"/>
    <col min="13518" max="13518" width="2.44140625" style="2" customWidth="1"/>
    <col min="13519" max="13519" width="5.5546875" style="2" bestFit="1" customWidth="1"/>
    <col min="13520" max="13520" width="21.5546875" style="2" customWidth="1"/>
    <col min="13521" max="13521" width="16.5546875" style="2" customWidth="1"/>
    <col min="13522" max="13522" width="18.44140625" style="2" customWidth="1"/>
    <col min="13523" max="13773" width="9.109375" style="2"/>
    <col min="13774" max="13774" width="2.44140625" style="2" customWidth="1"/>
    <col min="13775" max="13775" width="5.5546875" style="2" bestFit="1" customWidth="1"/>
    <col min="13776" max="13776" width="21.5546875" style="2" customWidth="1"/>
    <col min="13777" max="13777" width="16.5546875" style="2" customWidth="1"/>
    <col min="13778" max="13778" width="18.44140625" style="2" customWidth="1"/>
    <col min="13779" max="14029" width="9.109375" style="2"/>
    <col min="14030" max="14030" width="2.44140625" style="2" customWidth="1"/>
    <col min="14031" max="14031" width="5.5546875" style="2" bestFit="1" customWidth="1"/>
    <col min="14032" max="14032" width="21.5546875" style="2" customWidth="1"/>
    <col min="14033" max="14033" width="16.5546875" style="2" customWidth="1"/>
    <col min="14034" max="14034" width="18.44140625" style="2" customWidth="1"/>
    <col min="14035" max="14285" width="9.109375" style="2"/>
    <col min="14286" max="14286" width="2.44140625" style="2" customWidth="1"/>
    <col min="14287" max="14287" width="5.5546875" style="2" bestFit="1" customWidth="1"/>
    <col min="14288" max="14288" width="21.5546875" style="2" customWidth="1"/>
    <col min="14289" max="14289" width="16.5546875" style="2" customWidth="1"/>
    <col min="14290" max="14290" width="18.44140625" style="2" customWidth="1"/>
    <col min="14291" max="14541" width="9.109375" style="2"/>
    <col min="14542" max="14542" width="2.44140625" style="2" customWidth="1"/>
    <col min="14543" max="14543" width="5.5546875" style="2" bestFit="1" customWidth="1"/>
    <col min="14544" max="14544" width="21.5546875" style="2" customWidth="1"/>
    <col min="14545" max="14545" width="16.5546875" style="2" customWidth="1"/>
    <col min="14546" max="14546" width="18.44140625" style="2" customWidth="1"/>
    <col min="14547" max="14797" width="9.109375" style="2"/>
    <col min="14798" max="14798" width="2.44140625" style="2" customWidth="1"/>
    <col min="14799" max="14799" width="5.5546875" style="2" bestFit="1" customWidth="1"/>
    <col min="14800" max="14800" width="21.5546875" style="2" customWidth="1"/>
    <col min="14801" max="14801" width="16.5546875" style="2" customWidth="1"/>
    <col min="14802" max="14802" width="18.44140625" style="2" customWidth="1"/>
    <col min="14803" max="15053" width="9.109375" style="2"/>
    <col min="15054" max="15054" width="2.44140625" style="2" customWidth="1"/>
    <col min="15055" max="15055" width="5.5546875" style="2" bestFit="1" customWidth="1"/>
    <col min="15056" max="15056" width="21.5546875" style="2" customWidth="1"/>
    <col min="15057" max="15057" width="16.5546875" style="2" customWidth="1"/>
    <col min="15058" max="15058" width="18.44140625" style="2" customWidth="1"/>
    <col min="15059" max="15309" width="9.109375" style="2"/>
    <col min="15310" max="15310" width="2.44140625" style="2" customWidth="1"/>
    <col min="15311" max="15311" width="5.5546875" style="2" bestFit="1" customWidth="1"/>
    <col min="15312" max="15312" width="21.5546875" style="2" customWidth="1"/>
    <col min="15313" max="15313" width="16.5546875" style="2" customWidth="1"/>
    <col min="15314" max="15314" width="18.44140625" style="2" customWidth="1"/>
    <col min="15315" max="15565" width="9.109375" style="2"/>
    <col min="15566" max="15566" width="2.44140625" style="2" customWidth="1"/>
    <col min="15567" max="15567" width="5.5546875" style="2" bestFit="1" customWidth="1"/>
    <col min="15568" max="15568" width="21.5546875" style="2" customWidth="1"/>
    <col min="15569" max="15569" width="16.5546875" style="2" customWidth="1"/>
    <col min="15570" max="15570" width="18.44140625" style="2" customWidth="1"/>
    <col min="15571" max="15821" width="9.109375" style="2"/>
    <col min="15822" max="15822" width="2.44140625" style="2" customWidth="1"/>
    <col min="15823" max="15823" width="5.5546875" style="2" bestFit="1" customWidth="1"/>
    <col min="15824" max="15824" width="21.5546875" style="2" customWidth="1"/>
    <col min="15825" max="15825" width="16.5546875" style="2" customWidth="1"/>
    <col min="15826" max="15826" width="18.44140625" style="2" customWidth="1"/>
    <col min="15827" max="16077" width="9.109375" style="2"/>
    <col min="16078" max="16078" width="2.44140625" style="2" customWidth="1"/>
    <col min="16079" max="16079" width="5.5546875" style="2" bestFit="1" customWidth="1"/>
    <col min="16080" max="16080" width="21.5546875" style="2" customWidth="1"/>
    <col min="16081" max="16081" width="16.5546875" style="2" customWidth="1"/>
    <col min="16082" max="16082" width="18.44140625" style="2" customWidth="1"/>
    <col min="16083" max="16384" width="9.109375" style="2"/>
  </cols>
  <sheetData>
    <row r="1" spans="2:11" ht="19.5" customHeight="1" x14ac:dyDescent="0.25">
      <c r="B1" s="40"/>
      <c r="C1" s="40"/>
      <c r="D1" s="40"/>
      <c r="H1" s="40"/>
      <c r="I1" s="40"/>
      <c r="J1" s="40"/>
    </row>
    <row r="2" spans="2:11" ht="21.9" customHeight="1" x14ac:dyDescent="0.25">
      <c r="B2" s="40"/>
      <c r="C2" s="40"/>
      <c r="D2" s="40"/>
      <c r="E2" s="57" t="s">
        <v>37</v>
      </c>
      <c r="F2" s="57"/>
      <c r="G2" s="57"/>
      <c r="H2" s="57"/>
      <c r="I2" s="57"/>
      <c r="J2" s="57"/>
    </row>
    <row r="3" spans="2:11" ht="25.5" customHeight="1" x14ac:dyDescent="0.25">
      <c r="B3" s="40"/>
      <c r="C3" s="40"/>
      <c r="D3" s="40"/>
      <c r="E3" s="57"/>
      <c r="F3" s="57"/>
      <c r="G3" s="57"/>
      <c r="H3" s="57"/>
      <c r="I3" s="57"/>
      <c r="J3" s="57"/>
    </row>
    <row r="4" spans="2:11" ht="25.5" customHeight="1" x14ac:dyDescent="0.3">
      <c r="B4" s="1"/>
      <c r="C4" s="1"/>
      <c r="D4" s="1"/>
      <c r="E4"/>
      <c r="F4"/>
      <c r="G4" s="1"/>
      <c r="H4" s="1"/>
      <c r="I4" s="1"/>
      <c r="J4"/>
    </row>
    <row r="5" spans="2:11" ht="36" x14ac:dyDescent="0.35">
      <c r="B5" s="46" t="s">
        <v>13</v>
      </c>
      <c r="C5" s="46" t="s">
        <v>14</v>
      </c>
      <c r="D5" s="46" t="s">
        <v>15</v>
      </c>
      <c r="E5" s="47" t="s">
        <v>6</v>
      </c>
      <c r="F5" s="46" t="s">
        <v>7</v>
      </c>
      <c r="G5" s="46" t="s">
        <v>16</v>
      </c>
      <c r="H5" s="46" t="s">
        <v>17</v>
      </c>
      <c r="I5" s="46" t="s">
        <v>18</v>
      </c>
      <c r="J5" s="46" t="s">
        <v>1</v>
      </c>
    </row>
    <row r="6" spans="2:11" ht="6.75" customHeight="1" x14ac:dyDescent="0.35">
      <c r="B6" s="48"/>
      <c r="C6" s="48"/>
      <c r="D6" s="48"/>
      <c r="E6" s="49"/>
      <c r="F6" s="50"/>
      <c r="G6" s="48"/>
      <c r="H6" s="48"/>
      <c r="I6" s="48"/>
      <c r="J6" s="51"/>
    </row>
    <row r="7" spans="2:11" s="3" customFormat="1" ht="28.8" x14ac:dyDescent="0.3">
      <c r="B7" s="24">
        <v>4</v>
      </c>
      <c r="C7" s="24">
        <v>5</v>
      </c>
      <c r="D7" s="24">
        <v>5</v>
      </c>
      <c r="E7" s="38" t="s">
        <v>26</v>
      </c>
      <c r="F7" s="23" t="s">
        <v>11</v>
      </c>
      <c r="G7" s="24">
        <v>51.05263157894737</v>
      </c>
      <c r="H7" s="24">
        <v>45</v>
      </c>
      <c r="I7" s="24">
        <v>50</v>
      </c>
      <c r="J7" s="25">
        <v>335662</v>
      </c>
      <c r="K7" s="28"/>
    </row>
    <row r="8" spans="2:11" s="3" customFormat="1" ht="28.8" x14ac:dyDescent="0.3">
      <c r="B8" s="24">
        <v>2</v>
      </c>
      <c r="C8" s="24">
        <v>4</v>
      </c>
      <c r="D8" s="24">
        <v>3</v>
      </c>
      <c r="E8" s="38" t="s">
        <v>27</v>
      </c>
      <c r="F8" s="23" t="s">
        <v>11</v>
      </c>
      <c r="G8" s="24">
        <v>52.236842105263158</v>
      </c>
      <c r="H8" s="24">
        <v>46</v>
      </c>
      <c r="I8" s="24">
        <v>51.152173913043477</v>
      </c>
      <c r="J8" s="25">
        <v>61304</v>
      </c>
    </row>
    <row r="9" spans="2:11" s="3" customFormat="1" ht="57.6" x14ac:dyDescent="0.3">
      <c r="B9" s="24">
        <v>6</v>
      </c>
      <c r="C9" s="24">
        <v>7</v>
      </c>
      <c r="D9" s="24">
        <v>6</v>
      </c>
      <c r="E9" s="38" t="s">
        <v>20</v>
      </c>
      <c r="F9" s="23" t="s">
        <v>11</v>
      </c>
      <c r="G9" s="24">
        <v>48.631578947368418</v>
      </c>
      <c r="H9" s="24">
        <v>40.75</v>
      </c>
      <c r="I9" s="24">
        <v>47.260869565217391</v>
      </c>
      <c r="J9" s="25">
        <v>26254</v>
      </c>
    </row>
    <row r="10" spans="2:11" ht="72" x14ac:dyDescent="0.3">
      <c r="B10" s="24">
        <v>5</v>
      </c>
      <c r="C10" s="24">
        <v>2</v>
      </c>
      <c r="D10" s="24">
        <v>4</v>
      </c>
      <c r="E10" s="38" t="s">
        <v>21</v>
      </c>
      <c r="F10" s="23" t="s">
        <v>12</v>
      </c>
      <c r="G10" s="24">
        <v>50.44736842105263</v>
      </c>
      <c r="H10" s="24">
        <v>48</v>
      </c>
      <c r="I10" s="24">
        <v>50.021739130434781</v>
      </c>
      <c r="J10" s="25">
        <v>132005</v>
      </c>
    </row>
    <row r="11" spans="2:11" ht="28.8" x14ac:dyDescent="0.3">
      <c r="B11" s="24">
        <v>3</v>
      </c>
      <c r="C11" s="24">
        <v>3</v>
      </c>
      <c r="D11" s="24">
        <v>2</v>
      </c>
      <c r="E11" s="38" t="s">
        <v>28</v>
      </c>
      <c r="F11" s="23" t="s">
        <v>35</v>
      </c>
      <c r="G11" s="24">
        <v>51.815789473684212</v>
      </c>
      <c r="H11" s="24">
        <v>47.333333333333336</v>
      </c>
      <c r="I11" s="24">
        <v>51.204545454545453</v>
      </c>
      <c r="J11" s="25">
        <v>116182</v>
      </c>
    </row>
    <row r="12" spans="2:11" s="35" customFormat="1" ht="43.2" x14ac:dyDescent="0.3">
      <c r="B12" s="24">
        <v>8</v>
      </c>
      <c r="C12" s="24">
        <v>6</v>
      </c>
      <c r="D12" s="24">
        <v>8</v>
      </c>
      <c r="E12" s="38" t="s">
        <v>29</v>
      </c>
      <c r="F12" s="23" t="s">
        <v>36</v>
      </c>
      <c r="G12" s="24">
        <v>32.131578947368418</v>
      </c>
      <c r="H12" s="24">
        <v>44.333333333333336</v>
      </c>
      <c r="I12" s="24">
        <v>33.795454545454547</v>
      </c>
      <c r="J12" s="25">
        <v>50000</v>
      </c>
    </row>
    <row r="13" spans="2:11" ht="43.2" x14ac:dyDescent="0.3">
      <c r="B13" s="24">
        <v>7</v>
      </c>
      <c r="C13" s="24">
        <v>8</v>
      </c>
      <c r="D13" s="24">
        <v>7</v>
      </c>
      <c r="E13" s="38" t="s">
        <v>22</v>
      </c>
      <c r="F13" s="23" t="s">
        <v>23</v>
      </c>
      <c r="G13" s="24">
        <v>41.368421052631582</v>
      </c>
      <c r="H13" s="24">
        <v>32.75</v>
      </c>
      <c r="I13" s="24">
        <v>39.869565217391305</v>
      </c>
      <c r="J13" s="25">
        <v>215612</v>
      </c>
    </row>
    <row r="14" spans="2:11" s="35" customFormat="1" ht="43.2" x14ac:dyDescent="0.3">
      <c r="B14" s="24">
        <v>1</v>
      </c>
      <c r="C14" s="24">
        <v>1</v>
      </c>
      <c r="D14" s="24">
        <v>1</v>
      </c>
      <c r="E14" s="39" t="s">
        <v>30</v>
      </c>
      <c r="F14" s="23" t="s">
        <v>12</v>
      </c>
      <c r="G14" s="24">
        <v>52.973684210526315</v>
      </c>
      <c r="H14" s="24">
        <v>53</v>
      </c>
      <c r="I14" s="24">
        <v>52.978260869565219</v>
      </c>
      <c r="J14" s="25">
        <v>27521</v>
      </c>
    </row>
    <row r="15" spans="2:11" ht="12" customHeight="1" x14ac:dyDescent="0.4">
      <c r="B15" s="30"/>
      <c r="C15" s="30"/>
      <c r="D15" s="30"/>
      <c r="E15" s="36"/>
      <c r="F15" s="29"/>
      <c r="G15" s="37"/>
      <c r="H15" s="30"/>
      <c r="I15" s="30"/>
      <c r="J15" s="31"/>
    </row>
    <row r="16" spans="2:11" s="35" customFormat="1" ht="7.5" customHeight="1" x14ac:dyDescent="0.4">
      <c r="B16" s="37"/>
      <c r="C16" s="37"/>
      <c r="D16" s="37"/>
      <c r="E16" s="36"/>
      <c r="F16" s="29"/>
      <c r="G16" s="30"/>
      <c r="H16" s="30"/>
      <c r="I16" s="30"/>
      <c r="J16" s="31"/>
    </row>
    <row r="17" spans="2:13" ht="57.6" x14ac:dyDescent="0.3">
      <c r="B17" s="33">
        <v>3</v>
      </c>
      <c r="C17" s="33">
        <v>3</v>
      </c>
      <c r="D17" s="33">
        <v>3</v>
      </c>
      <c r="E17" s="38" t="s">
        <v>31</v>
      </c>
      <c r="F17" s="23" t="s">
        <v>40</v>
      </c>
      <c r="G17" s="24">
        <v>48.868421052631582</v>
      </c>
      <c r="H17" s="24">
        <v>45.333333333333336</v>
      </c>
      <c r="I17" s="24">
        <v>48.386363636363633</v>
      </c>
      <c r="J17" s="25">
        <v>86244</v>
      </c>
      <c r="L17"/>
      <c r="M17"/>
    </row>
    <row r="18" spans="2:13" ht="28.8" x14ac:dyDescent="0.3">
      <c r="B18" s="33">
        <v>2</v>
      </c>
      <c r="C18" s="33">
        <v>2</v>
      </c>
      <c r="D18" s="33">
        <v>2</v>
      </c>
      <c r="E18" s="38" t="s">
        <v>32</v>
      </c>
      <c r="F18" s="45" t="s">
        <v>41</v>
      </c>
      <c r="G18" s="24">
        <v>52.55263157894737</v>
      </c>
      <c r="H18" s="24">
        <v>48.25</v>
      </c>
      <c r="I18" s="24">
        <v>51.804347826086953</v>
      </c>
      <c r="J18" s="25">
        <v>63854</v>
      </c>
      <c r="L18"/>
      <c r="M18"/>
    </row>
    <row r="19" spans="2:13" s="35" customFormat="1" ht="43.2" x14ac:dyDescent="0.3">
      <c r="B19" s="33">
        <v>1</v>
      </c>
      <c r="C19" s="33">
        <v>1</v>
      </c>
      <c r="D19" s="33">
        <v>1</v>
      </c>
      <c r="E19" s="38" t="s">
        <v>33</v>
      </c>
      <c r="F19" s="32" t="s">
        <v>41</v>
      </c>
      <c r="G19" s="24">
        <v>56.631578947368418</v>
      </c>
      <c r="H19" s="24">
        <v>51.25</v>
      </c>
      <c r="I19" s="24">
        <v>55.695652173913047</v>
      </c>
      <c r="J19" s="25">
        <v>79887</v>
      </c>
      <c r="L19"/>
      <c r="M19"/>
    </row>
    <row r="20" spans="2:13" s="35" customFormat="1" ht="28.8" x14ac:dyDescent="0.3">
      <c r="B20" s="33">
        <v>4</v>
      </c>
      <c r="C20" s="33">
        <v>4</v>
      </c>
      <c r="D20" s="33">
        <v>4</v>
      </c>
      <c r="E20" s="38" t="s">
        <v>34</v>
      </c>
      <c r="F20" s="32" t="s">
        <v>42</v>
      </c>
      <c r="G20" s="24">
        <v>44.157894736842103</v>
      </c>
      <c r="H20" s="24">
        <v>43.75</v>
      </c>
      <c r="I20" s="24">
        <v>44.086956521739133</v>
      </c>
      <c r="J20" s="25">
        <v>88886</v>
      </c>
      <c r="L20"/>
      <c r="M20"/>
    </row>
  </sheetData>
  <mergeCells count="1">
    <mergeCell ref="E2:J3"/>
  </mergeCells>
  <pageMargins left="0.7" right="0.7" top="0.75" bottom="0.75" header="0.3" footer="0.3"/>
  <pageSetup scale="59" orientation="landscape" horizontalDpi="4294967293" verticalDpi="300" r:id="rId1"/>
  <drawing r:id="rId2"/>
  <picture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9</vt:i4>
      </vt:variant>
    </vt:vector>
  </HeadingPairs>
  <TitlesOfParts>
    <vt:vector size="13" baseType="lpstr">
      <vt:lpstr>Avg Tally Sheet</vt:lpstr>
      <vt:lpstr>Ops Tally Sheet</vt:lpstr>
      <vt:lpstr>Adv Tally Sheet</vt:lpstr>
      <vt:lpstr>Tally Sheet Data</vt:lpstr>
      <vt:lpstr>advisors</vt:lpstr>
      <vt:lpstr>advisorsM</vt:lpstr>
      <vt:lpstr>advisorsN</vt:lpstr>
      <vt:lpstr>average</vt:lpstr>
      <vt:lpstr>averageM</vt:lpstr>
      <vt:lpstr>averageN</vt:lpstr>
      <vt:lpstr>operations</vt:lpstr>
      <vt:lpstr>operationsM</vt:lpstr>
      <vt:lpstr>operationsN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 Marie Defilippi</dc:creator>
  <cp:lastModifiedBy>Julie DeFilippi Simpson</cp:lastModifiedBy>
  <cp:lastPrinted>2020-09-24T11:43:12Z</cp:lastPrinted>
  <dcterms:created xsi:type="dcterms:W3CDTF">2011-08-26T19:59:00Z</dcterms:created>
  <dcterms:modified xsi:type="dcterms:W3CDTF">2021-10-04T16:33:23Z</dcterms:modified>
</cp:coreProperties>
</file>